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455" activeTab="9"/>
  </bookViews>
  <sheets>
    <sheet name="SHEET-1" sheetId="24" r:id="rId1"/>
    <sheet name="SHEET-2" sheetId="25" r:id="rId2"/>
    <sheet name="SHEET-3" sheetId="26" r:id="rId3"/>
    <sheet name="SHEET-4" sheetId="32" r:id="rId4"/>
    <sheet name="SHEET-5" sheetId="33" r:id="rId5"/>
    <sheet name="SHEET-6" sheetId="30" r:id="rId6"/>
    <sheet name="SHEET-7" sheetId="31" r:id="rId7"/>
    <sheet name="Sheet1" sheetId="34" state="hidden" r:id="rId8"/>
    <sheet name="Lab" sheetId="35" r:id="rId9"/>
    <sheet name="T&amp;D" sheetId="36" r:id="rId10"/>
  </sheets>
  <definedNames>
    <definedName name="_xlnm.Print_Area" localSheetId="0">'SHEET-1'!$A$1:$I$44</definedName>
    <definedName name="_xlnm.Print_Area" localSheetId="2">'SHEET-3'!$A$1:$I$37</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_xlnm.Print_Area" localSheetId="9">'T&amp;D'!$A$1:$M$30</definedName>
  </definedNames>
  <calcPr calcId="124519"/>
</workbook>
</file>

<file path=xl/calcChain.xml><?xml version="1.0" encoding="utf-8"?>
<calcChain xmlns="http://schemas.openxmlformats.org/spreadsheetml/2006/main">
  <c r="L29" i="36"/>
  <c r="J29"/>
  <c r="I29"/>
  <c r="F29"/>
  <c r="E29"/>
  <c r="L20"/>
  <c r="J20"/>
  <c r="I20"/>
  <c r="E20"/>
  <c r="I13"/>
  <c r="I22" s="1"/>
  <c r="E13"/>
  <c r="E22" s="1"/>
  <c r="L11"/>
  <c r="J11"/>
  <c r="I11"/>
  <c r="E11"/>
  <c r="H10" i="35" l="1"/>
  <c r="F10"/>
  <c r="D10"/>
  <c r="C10"/>
  <c r="G9"/>
  <c r="I9" s="1"/>
  <c r="D9"/>
  <c r="C9"/>
  <c r="G8"/>
  <c r="G10" s="1"/>
  <c r="D8"/>
  <c r="C8"/>
  <c r="H6"/>
  <c r="F6"/>
  <c r="I8" l="1"/>
  <c r="I10" s="1"/>
  <c r="F38" i="32" l="1"/>
  <c r="F38" i="33" s="1"/>
  <c r="F29"/>
  <c r="G23"/>
  <c r="F19"/>
  <c r="F18"/>
  <c r="F36" i="32"/>
  <c r="F34"/>
  <c r="F33"/>
  <c r="F29" l="1"/>
  <c r="F30" i="26"/>
  <c r="D19" i="31"/>
  <c r="F21" i="26"/>
  <c r="G21"/>
  <c r="F20"/>
  <c r="F19"/>
  <c r="F16"/>
  <c r="D23" i="33" l="1"/>
  <c r="D21"/>
  <c r="D19"/>
  <c r="D18"/>
  <c r="D14"/>
  <c r="D21" i="26" l="1"/>
  <c r="I22"/>
  <c r="H22"/>
  <c r="E23" i="33"/>
  <c r="E21"/>
  <c r="E19"/>
  <c r="E18"/>
  <c r="C11" i="31"/>
  <c r="C12"/>
  <c r="C14"/>
  <c r="C13"/>
  <c r="D24" i="26" l="1"/>
  <c r="D15"/>
  <c r="D35" i="24"/>
  <c r="F48"/>
  <c r="E48"/>
  <c r="D48"/>
  <c r="D38" i="32"/>
  <c r="D36"/>
  <c r="D34"/>
  <c r="D33"/>
  <c r="D29"/>
  <c r="D27" i="24"/>
  <c r="D17"/>
  <c r="G32" i="30" l="1"/>
  <c r="G38" i="32"/>
  <c r="G36"/>
  <c r="G34"/>
  <c r="G23"/>
  <c r="F23"/>
  <c r="F21"/>
  <c r="G21" s="1"/>
  <c r="G19"/>
  <c r="F19"/>
  <c r="G18"/>
  <c r="G14"/>
  <c r="F29" i="26"/>
  <c r="F28"/>
  <c r="F26"/>
  <c r="F24"/>
  <c r="F22"/>
  <c r="F18"/>
  <c r="F17"/>
  <c r="F15"/>
  <c r="G16"/>
  <c r="G17"/>
  <c r="G18"/>
  <c r="G19"/>
  <c r="G20"/>
  <c r="F23" i="33"/>
  <c r="G21"/>
  <c r="G19"/>
  <c r="F35" i="24"/>
  <c r="G26"/>
  <c r="G25"/>
  <c r="F27"/>
  <c r="F25"/>
  <c r="F17"/>
  <c r="G53" i="30" l="1"/>
  <c r="G51"/>
  <c r="G49"/>
  <c r="G48"/>
  <c r="G44"/>
  <c r="D53"/>
  <c r="D51"/>
  <c r="D49"/>
  <c r="D48"/>
  <c r="E49"/>
  <c r="E48"/>
  <c r="E53"/>
  <c r="E51"/>
  <c r="G30" i="26" l="1"/>
  <c r="G29"/>
  <c r="G26"/>
  <c r="G22"/>
  <c r="G38" i="33"/>
  <c r="G36"/>
  <c r="G34"/>
  <c r="G33"/>
  <c r="E16" i="26"/>
  <c r="D16" s="1"/>
  <c r="E30" l="1"/>
  <c r="D30" s="1"/>
  <c r="E29"/>
  <c r="D29" s="1"/>
  <c r="E28"/>
  <c r="D28" s="1"/>
  <c r="E26"/>
  <c r="D26" s="1"/>
  <c r="E22"/>
  <c r="D22" s="1"/>
  <c r="E21"/>
  <c r="E20"/>
  <c r="D20" s="1"/>
  <c r="E19"/>
  <c r="D19" s="1"/>
  <c r="E18"/>
  <c r="D18" s="1"/>
  <c r="E17"/>
  <c r="D17" s="1"/>
  <c r="E22" i="33"/>
  <c r="E24" s="1"/>
  <c r="F27" i="26" l="1"/>
  <c r="G37" i="32"/>
  <c r="G39" s="1"/>
  <c r="F37"/>
  <c r="F31"/>
  <c r="F30"/>
  <c r="G29" i="33"/>
  <c r="F32" i="32"/>
  <c r="G22"/>
  <c r="F22"/>
  <c r="F24" s="1"/>
  <c r="G17"/>
  <c r="F17"/>
  <c r="F25" s="1"/>
  <c r="G31" i="33"/>
  <c r="F33"/>
  <c r="F34"/>
  <c r="F36"/>
  <c r="G22"/>
  <c r="G17"/>
  <c r="F17"/>
  <c r="G17" i="30"/>
  <c r="F17"/>
  <c r="D33" i="31"/>
  <c r="G37" i="24"/>
  <c r="F37"/>
  <c r="G28"/>
  <c r="G29" s="1"/>
  <c r="F26"/>
  <c r="F28" s="1"/>
  <c r="F29" s="1"/>
  <c r="G22"/>
  <c r="F22"/>
  <c r="G24" i="32" l="1"/>
  <c r="G54" i="30" s="1"/>
  <c r="G52"/>
  <c r="G24" i="33"/>
  <c r="G39" s="1"/>
  <c r="G37"/>
  <c r="F22"/>
  <c r="F24" s="1"/>
  <c r="F25" s="1"/>
  <c r="F23" i="26"/>
  <c r="F32" s="1"/>
  <c r="G23"/>
  <c r="G32" s="1"/>
  <c r="F39" i="32"/>
  <c r="F40" s="1"/>
  <c r="F32" i="33"/>
  <c r="G32" i="32"/>
  <c r="G47" i="30" s="1"/>
  <c r="G25" i="32"/>
  <c r="F37" i="33" l="1"/>
  <c r="F39"/>
  <c r="G25"/>
  <c r="G32" i="24" s="1"/>
  <c r="G40" i="32"/>
  <c r="G55" i="30" s="1"/>
  <c r="G32" i="33"/>
  <c r="F32" i="24" l="1"/>
  <c r="F34" s="1"/>
  <c r="F38" s="1"/>
  <c r="G34"/>
  <c r="G38" s="1"/>
  <c r="G40" i="33"/>
  <c r="G28" i="26" l="1"/>
  <c r="D15" i="31"/>
  <c r="D35" s="1"/>
  <c r="D25" i="24"/>
  <c r="D26" l="1"/>
  <c r="D14" i="26"/>
  <c r="D13" i="32" s="1"/>
  <c r="D13" i="33" s="1"/>
  <c r="D13" i="30" s="1"/>
  <c r="F14" i="25"/>
  <c r="F14" i="26" s="1"/>
  <c r="F13" i="32" s="1"/>
  <c r="F13" i="33" s="1"/>
  <c r="F13" i="30" s="1"/>
  <c r="D14" i="25"/>
  <c r="F21" l="1"/>
  <c r="G21"/>
  <c r="G16"/>
  <c r="F16"/>
  <c r="E27" i="26" l="1"/>
  <c r="E25"/>
  <c r="E30" i="32" l="1"/>
  <c r="E37" i="24"/>
  <c r="D37"/>
  <c r="D28"/>
  <c r="D29" s="1"/>
  <c r="E22"/>
  <c r="D22"/>
  <c r="D16" i="25" s="1"/>
  <c r="H15" i="32"/>
  <c r="E16" i="25" l="1"/>
  <c r="E25" i="24"/>
  <c r="E26" s="1"/>
  <c r="E28" s="1"/>
  <c r="E29" s="1"/>
  <c r="D23" i="26"/>
  <c r="D21" i="25" s="1"/>
  <c r="E23" i="26" l="1"/>
  <c r="E21" i="25" s="1"/>
  <c r="P32" i="33"/>
  <c r="E11" i="31"/>
  <c r="P30" i="33"/>
  <c r="P31"/>
  <c r="P33"/>
  <c r="P34"/>
  <c r="P35"/>
  <c r="P36"/>
  <c r="P38"/>
  <c r="P29"/>
  <c r="Q29"/>
  <c r="G24" i="25"/>
  <c r="P37" i="33" l="1"/>
  <c r="F24" i="25"/>
  <c r="E17" i="33"/>
  <c r="D22"/>
  <c r="E37" i="32"/>
  <c r="E32"/>
  <c r="D32"/>
  <c r="E32" i="26"/>
  <c r="H21"/>
  <c r="D44" i="30"/>
  <c r="E44"/>
  <c r="I21" i="26"/>
  <c r="I29" i="24"/>
  <c r="E39" i="32" l="1"/>
  <c r="E54" i="30" s="1"/>
  <c r="E52"/>
  <c r="E47"/>
  <c r="P39" i="33"/>
  <c r="E32"/>
  <c r="E24" i="25" s="1"/>
  <c r="P40" i="33"/>
  <c r="E25"/>
  <c r="E32" i="24" s="1"/>
  <c r="D32" s="1"/>
  <c r="H22" i="30"/>
  <c r="H23"/>
  <c r="H24"/>
  <c r="H25"/>
  <c r="H21"/>
  <c r="H15"/>
  <c r="H17"/>
  <c r="H18"/>
  <c r="C33" i="31"/>
  <c r="C15"/>
  <c r="H29" i="24"/>
  <c r="F44" i="30"/>
  <c r="E40" i="32" l="1"/>
  <c r="E55" i="30" s="1"/>
  <c r="C35" i="31"/>
  <c r="E35" s="1"/>
  <c r="E46" i="30"/>
  <c r="D38" i="33"/>
  <c r="D36"/>
  <c r="D34"/>
  <c r="D33"/>
  <c r="D29"/>
  <c r="E34"/>
  <c r="E33"/>
  <c r="D17"/>
  <c r="E29"/>
  <c r="E36"/>
  <c r="D37" i="32"/>
  <c r="D52" i="30" s="1"/>
  <c r="D47"/>
  <c r="F53"/>
  <c r="F51"/>
  <c r="F49"/>
  <c r="F47"/>
  <c r="F48"/>
  <c r="F25" i="25"/>
  <c r="F40" i="33"/>
  <c r="F26" i="25" s="1"/>
  <c r="E38" i="33" l="1"/>
  <c r="D39" i="32"/>
  <c r="E37" i="33"/>
  <c r="D32"/>
  <c r="D24" i="25" s="1"/>
  <c r="F54" i="30"/>
  <c r="F52"/>
  <c r="G25" i="25"/>
  <c r="G26"/>
  <c r="D54" i="30" l="1"/>
  <c r="F55"/>
  <c r="D40" i="32"/>
  <c r="E39" i="33"/>
  <c r="E25" i="25" s="1"/>
  <c r="D55" i="30" l="1"/>
  <c r="I55"/>
  <c r="E40" i="33"/>
  <c r="E26" i="25" s="1"/>
  <c r="H53" i="26"/>
  <c r="E67" i="32" l="1"/>
  <c r="D67"/>
  <c r="F66"/>
  <c r="F65"/>
  <c r="F67" l="1"/>
  <c r="D68" i="30" l="1"/>
  <c r="G53" i="26" l="1"/>
  <c r="F53"/>
  <c r="E53"/>
  <c r="D52"/>
  <c r="I30" l="1"/>
  <c r="I29"/>
  <c r="I26"/>
  <c r="E25" i="31"/>
  <c r="I19" i="26"/>
  <c r="H18"/>
  <c r="E29" i="31"/>
  <c r="E23"/>
  <c r="N30" i="33"/>
  <c r="O30"/>
  <c r="N31"/>
  <c r="O31"/>
  <c r="N33"/>
  <c r="O33"/>
  <c r="N34"/>
  <c r="O34"/>
  <c r="N35"/>
  <c r="O35"/>
  <c r="N36"/>
  <c r="O36"/>
  <c r="N38"/>
  <c r="O38"/>
  <c r="O29"/>
  <c r="N29"/>
  <c r="O37"/>
  <c r="H21" i="25"/>
  <c r="H17" i="26"/>
  <c r="I28" i="24"/>
  <c r="H22"/>
  <c r="H25"/>
  <c r="H26"/>
  <c r="H27"/>
  <c r="H28"/>
  <c r="I38" i="33"/>
  <c r="H38"/>
  <c r="I36"/>
  <c r="H36"/>
  <c r="I34"/>
  <c r="H34"/>
  <c r="I33"/>
  <c r="H33"/>
  <c r="I30"/>
  <c r="H30"/>
  <c r="I29"/>
  <c r="H29"/>
  <c r="I23"/>
  <c r="H23"/>
  <c r="I21"/>
  <c r="H21"/>
  <c r="I19"/>
  <c r="H19"/>
  <c r="I18"/>
  <c r="H18"/>
  <c r="I15"/>
  <c r="H15"/>
  <c r="I14"/>
  <c r="H14"/>
  <c r="D62" i="26"/>
  <c r="E59" i="32"/>
  <c r="H37" i="24"/>
  <c r="H35"/>
  <c r="I35"/>
  <c r="I27"/>
  <c r="H30" i="26"/>
  <c r="I24"/>
  <c r="H24"/>
  <c r="I21" i="25"/>
  <c r="I26"/>
  <c r="I25"/>
  <c r="I24"/>
  <c r="H24"/>
  <c r="I16"/>
  <c r="H16"/>
  <c r="D59" i="32"/>
  <c r="I17" i="24"/>
  <c r="H17"/>
  <c r="H29" i="26"/>
  <c r="H26"/>
  <c r="E14" i="31"/>
  <c r="E13"/>
  <c r="E12"/>
  <c r="I25" i="24"/>
  <c r="E19" i="31"/>
  <c r="H15" i="26"/>
  <c r="I15"/>
  <c r="H14" i="30"/>
  <c r="I14"/>
  <c r="I15"/>
  <c r="I17"/>
  <c r="I18"/>
  <c r="H19"/>
  <c r="I19"/>
  <c r="I21"/>
  <c r="I22"/>
  <c r="I23"/>
  <c r="I24"/>
  <c r="I25"/>
  <c r="H29"/>
  <c r="I29"/>
  <c r="H30"/>
  <c r="I30"/>
  <c r="H32"/>
  <c r="I32"/>
  <c r="H33"/>
  <c r="I33"/>
  <c r="H34"/>
  <c r="I34"/>
  <c r="H36"/>
  <c r="I36"/>
  <c r="H37"/>
  <c r="I37"/>
  <c r="H38"/>
  <c r="I38"/>
  <c r="H39"/>
  <c r="I39"/>
  <c r="H40"/>
  <c r="I40"/>
  <c r="H44"/>
  <c r="I44"/>
  <c r="H45"/>
  <c r="I45"/>
  <c r="H48"/>
  <c r="I48"/>
  <c r="H49"/>
  <c r="I49"/>
  <c r="H51"/>
  <c r="I51"/>
  <c r="H53"/>
  <c r="I53"/>
  <c r="H14" i="32"/>
  <c r="I14"/>
  <c r="I15"/>
  <c r="H18"/>
  <c r="I18"/>
  <c r="H19"/>
  <c r="I19"/>
  <c r="H21"/>
  <c r="I21"/>
  <c r="H23"/>
  <c r="I23"/>
  <c r="H29"/>
  <c r="I29"/>
  <c r="H30"/>
  <c r="I30"/>
  <c r="H33"/>
  <c r="I33"/>
  <c r="H34"/>
  <c r="I34"/>
  <c r="H36"/>
  <c r="I36"/>
  <c r="I38"/>
  <c r="I22" i="24"/>
  <c r="H32" i="32"/>
  <c r="I22"/>
  <c r="I17"/>
  <c r="H22"/>
  <c r="H37"/>
  <c r="I37"/>
  <c r="H38"/>
  <c r="H17"/>
  <c r="I17" i="33"/>
  <c r="H17"/>
  <c r="I22"/>
  <c r="I24" l="1"/>
  <c r="I25"/>
  <c r="I25" i="32"/>
  <c r="I24"/>
  <c r="H24"/>
  <c r="H25"/>
  <c r="H19" i="26"/>
  <c r="I39" i="32"/>
  <c r="O39" i="33"/>
  <c r="I37" i="24"/>
  <c r="N32" i="33"/>
  <c r="E28" i="31"/>
  <c r="I20" i="26"/>
  <c r="I18"/>
  <c r="I16"/>
  <c r="E24" i="31"/>
  <c r="H16" i="26"/>
  <c r="H20"/>
  <c r="I17"/>
  <c r="I26" i="24"/>
  <c r="I32" i="26" l="1"/>
  <c r="I32" i="33"/>
  <c r="H32"/>
  <c r="I52" i="30"/>
  <c r="H52"/>
  <c r="I47"/>
  <c r="H47"/>
  <c r="I37" i="33"/>
  <c r="I32" i="32"/>
  <c r="O32" i="33"/>
  <c r="H39" i="32"/>
  <c r="I23" i="26"/>
  <c r="I39" i="33" l="1"/>
  <c r="I54" i="30"/>
  <c r="H54"/>
  <c r="O40" i="33"/>
  <c r="I40" i="32"/>
  <c r="F58"/>
  <c r="F57"/>
  <c r="H40"/>
  <c r="E33" i="31"/>
  <c r="H55" i="30" l="1"/>
  <c r="I40" i="33"/>
  <c r="E15" i="31" l="1"/>
  <c r="I28" i="26"/>
  <c r="N37" i="33"/>
  <c r="H22"/>
  <c r="D37"/>
  <c r="H37" s="1"/>
  <c r="D24"/>
  <c r="H24" s="1"/>
  <c r="D39" l="1"/>
  <c r="N39"/>
  <c r="D25"/>
  <c r="H28" i="26" l="1"/>
  <c r="H39" i="33"/>
  <c r="D25" i="25"/>
  <c r="H25" s="1"/>
  <c r="H25" i="33"/>
  <c r="D40"/>
  <c r="N40"/>
  <c r="H23" i="26"/>
  <c r="D32"/>
  <c r="H32" s="1"/>
  <c r="D34" i="24" l="1"/>
  <c r="H32"/>
  <c r="H40" i="33"/>
  <c r="D26" i="25"/>
  <c r="H26" s="1"/>
  <c r="D38" i="24" l="1"/>
  <c r="H38" s="1"/>
  <c r="H34"/>
  <c r="E34"/>
  <c r="I32"/>
  <c r="E38" l="1"/>
  <c r="I38" s="1"/>
  <c r="I34"/>
</calcChain>
</file>

<file path=xl/sharedStrings.xml><?xml version="1.0" encoding="utf-8"?>
<sst xmlns="http://schemas.openxmlformats.org/spreadsheetml/2006/main" count="660" uniqueCount="289">
  <si>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</si>
  <si>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</si>
  <si>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</si>
  <si>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</si>
  <si>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</si>
  <si>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</si>
  <si>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</si>
  <si>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</si>
  <si>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</si>
  <si>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</si>
  <si>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</si>
  <si>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</si>
  <si>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</si>
  <si>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</si>
  <si>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</si>
  <si>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</si>
  <si>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</si>
  <si>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</si>
  <si>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</si>
  <si>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</si>
  <si>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</si>
  <si>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</si>
  <si>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</si>
  <si>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</si>
  <si>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</si>
  <si>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</si>
  <si>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</si>
  <si>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</si>
  <si>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</si>
  <si>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</si>
  <si>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</si>
  <si>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</si>
  <si>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</si>
  <si>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</si>
  <si>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Total [7 to 13]</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</si>
  <si>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</si>
  <si>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</si>
  <si>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</si>
  <si>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</si>
  <si>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</si>
  <si>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</si>
  <si>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</si>
  <si>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</si>
  <si>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</si>
  <si>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</si>
  <si>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</si>
  <si>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</si>
  <si>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</si>
  <si>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</si>
  <si>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</si>
  <si>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</si>
  <si>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</si>
  <si>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</si>
  <si>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</si>
  <si>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</si>
  <si>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</si>
  <si>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</si>
  <si>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</si>
  <si>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</si>
  <si>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</si>
  <si>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</si>
  <si>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</si>
  <si>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</si>
  <si>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</si>
  <si>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</si>
  <si>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</si>
  <si>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</si>
  <si>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</si>
  <si>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</si>
  <si>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</si>
  <si>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</si>
  <si>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</si>
  <si>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</si>
  <si>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</si>
  <si>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</si>
  <si>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</si>
  <si>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</si>
  <si>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</si>
  <si>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</si>
  <si>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</si>
  <si>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</si>
  <si>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</si>
  <si>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</si>
  <si>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</si>
  <si>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</si>
  <si>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</si>
  <si>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</si>
  <si>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</si>
  <si>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</si>
  <si>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</si>
  <si>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</si>
  <si>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</si>
  <si>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</si>
  <si>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</si>
  <si>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</si>
  <si>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</si>
  <si>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</si>
  <si>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</si>
  <si>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</si>
  <si>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</si>
  <si>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</si>
  <si>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</si>
  <si>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</si>
  <si>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</si>
  <si>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</si>
  <si>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</si>
  <si>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</si>
  <si>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</si>
  <si>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</si>
  <si>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</si>
  <si>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</si>
  <si>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</si>
  <si>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</si>
  <si>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</si>
  <si>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</si>
  <si>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</si>
  <si>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</si>
  <si>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</si>
  <si>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</si>
  <si>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</si>
  <si>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</si>
  <si>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</si>
  <si>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</si>
  <si>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</si>
  <si>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</si>
  <si>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</si>
  <si>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</si>
  <si>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</si>
  <si>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</si>
  <si>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</si>
  <si>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</si>
  <si>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</si>
  <si>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</si>
  <si>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</si>
  <si>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</si>
  <si>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</si>
  <si>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</si>
  <si>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</si>
  <si>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</si>
  <si>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</si>
  <si>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</si>
  <si>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</si>
  <si>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</si>
  <si>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</si>
  <si>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</si>
  <si>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</si>
  <si>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</si>
  <si>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</si>
  <si>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</si>
  <si>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</si>
  <si>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</si>
  <si>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</si>
  <si>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</si>
  <si>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</si>
  <si>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</si>
  <si>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</si>
  <si>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</si>
  <si>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</si>
  <si>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</si>
  <si>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</si>
  <si>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</si>
  <si>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</si>
  <si>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</si>
  <si>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</si>
  <si>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</si>
  <si>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</si>
  <si>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</si>
  <si>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</si>
  <si>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</si>
  <si>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</si>
  <si>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</si>
  <si>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</si>
  <si>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</si>
  <si>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</si>
  <si>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</si>
  <si>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</si>
  <si>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</si>
  <si>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</si>
  <si>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</si>
  <si>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</si>
  <si>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</si>
  <si>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</si>
  <si>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</si>
  <si>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</si>
  <si>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</si>
  <si>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</si>
  <si>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</si>
  <si>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</si>
  <si>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</si>
  <si>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</si>
  <si>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</si>
  <si>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</si>
  <si>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</si>
  <si>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</si>
  <si>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</si>
  <si>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</si>
  <si>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</si>
  <si>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</si>
  <si>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</si>
  <si>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</si>
  <si>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</si>
  <si>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</si>
  <si>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</si>
  <si>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</si>
  <si>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</si>
  <si>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</si>
  <si>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</si>
  <si>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</si>
  <si>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</si>
  <si>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</si>
  <si>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</si>
  <si>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</si>
  <si>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</si>
  <si>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</si>
  <si>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</si>
  <si>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</si>
  <si>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</si>
  <si>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</si>
  <si>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</si>
  <si>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</si>
  <si>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</si>
  <si>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</si>
  <si>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</si>
  <si>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</si>
  <si>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</si>
  <si>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</si>
  <si>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</si>
  <si>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</si>
  <si>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</si>
  <si>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</si>
  <si>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</si>
  <si>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</si>
  <si>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</si>
  <si>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</si>
  <si>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NPT/GERC REPORT/APRIL, 2017 TO JUNE'2017</t>
  </si>
  <si>
    <t>July-2018 to Sept-2018</t>
  </si>
  <si>
    <t>July-2019 to Sept-2019</t>
  </si>
  <si>
    <t>April to Sept-19</t>
  </si>
  <si>
    <t>April to Sept-18</t>
  </si>
  <si>
    <t>Meter testing</t>
  </si>
  <si>
    <t>V  -   DISTRIBUTION - KEY DATA</t>
  </si>
  <si>
    <t>Jul-Aug-Sep-19</t>
  </si>
  <si>
    <t>Meter testing and details of non-working defective meters</t>
  </si>
  <si>
    <t>(A)</t>
  </si>
  <si>
    <t>Total capacity of laboratory</t>
  </si>
  <si>
    <t>Tested during the period</t>
  </si>
  <si>
    <t>Pending for testing at the end of the period</t>
  </si>
  <si>
    <t>Single Phase</t>
  </si>
  <si>
    <t>No.</t>
  </si>
  <si>
    <t>Three Phase</t>
  </si>
  <si>
    <t>Total</t>
  </si>
  <si>
    <t>(B)</t>
  </si>
  <si>
    <t>Non-working/ Defective meters</t>
  </si>
  <si>
    <t>Detected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</si>
  <si>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</si>
  <si>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</si>
  <si>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</si>
  <si>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</si>
  <si>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</si>
  <si>
    <t>V  -  DISTRIBUTION - KEY DATA</t>
  </si>
  <si>
    <t xml:space="preserve">Action plan for reducing T &amp; D losses in Urban, Industrial and GIDC feeders      </t>
  </si>
  <si>
    <t>Sr. No.</t>
  </si>
  <si>
    <t>Circle</t>
  </si>
  <si>
    <t>Q2- April to Sept-19</t>
  </si>
  <si>
    <t>Q2- April to Sept-18</t>
  </si>
  <si>
    <r>
      <t xml:space="preserve">Nos of feeders </t>
    </r>
    <r>
      <rPr>
        <b/>
        <sz val="10"/>
        <color rgb="FFFF0000"/>
        <rFont val="Trebuchet MS"/>
        <family val="2"/>
      </rPr>
      <t>having more than 5%</t>
    </r>
    <r>
      <rPr>
        <b/>
        <sz val="10"/>
        <rFont val="Trebuchet MS"/>
        <family val="2"/>
      </rPr>
      <t xml:space="preserve"> where losses increased in current period</t>
    </r>
  </si>
  <si>
    <t>Reason thereof and action being taken</t>
  </si>
  <si>
    <t xml:space="preserve">Total nos. of feeders     </t>
  </si>
  <si>
    <r>
      <t>Nos. of feeders having losses more than</t>
    </r>
    <r>
      <rPr>
        <b/>
        <sz val="10"/>
        <color rgb="FFFF0000"/>
        <rFont val="Trebuchet MS"/>
        <family val="2"/>
      </rPr>
      <t xml:space="preserve"> 5 %     </t>
    </r>
  </si>
  <si>
    <t xml:space="preserve">Overall % losses    </t>
  </si>
  <si>
    <r>
      <t xml:space="preserve">Nos. of feeders having losses more than </t>
    </r>
    <r>
      <rPr>
        <b/>
        <sz val="10"/>
        <color rgb="FFFF0000"/>
        <rFont val="Trebuchet MS"/>
        <family val="2"/>
      </rPr>
      <t xml:space="preserve">5 %     </t>
    </r>
  </si>
  <si>
    <t>GIDC</t>
  </si>
  <si>
    <t>Baroda OM</t>
  </si>
  <si>
    <t>1*</t>
  </si>
  <si>
    <t>Baroda City</t>
  </si>
  <si>
    <t>Anand</t>
  </si>
  <si>
    <t>Nadiad</t>
  </si>
  <si>
    <t>Godhra</t>
  </si>
  <si>
    <t>*Newly Created Feeders</t>
  </si>
  <si>
    <r>
      <t xml:space="preserve">Nos of feeders </t>
    </r>
    <r>
      <rPr>
        <b/>
        <sz val="10"/>
        <color rgb="FFFF0000"/>
        <rFont val="Trebuchet MS"/>
        <family val="2"/>
      </rPr>
      <t>having more than 25%</t>
    </r>
    <r>
      <rPr>
        <b/>
        <sz val="10"/>
        <rFont val="Trebuchet MS"/>
        <family val="2"/>
      </rPr>
      <t xml:space="preserve"> where losses increased in current period</t>
    </r>
  </si>
  <si>
    <r>
      <t>Nos. of feeders having losses more than</t>
    </r>
    <r>
      <rPr>
        <b/>
        <sz val="10"/>
        <color rgb="FFFF0000"/>
        <rFont val="Trebuchet MS"/>
        <family val="2"/>
      </rPr>
      <t xml:space="preserve"> 25 %     </t>
    </r>
  </si>
  <si>
    <r>
      <t xml:space="preserve">Nos. of feeders having losses more than </t>
    </r>
    <r>
      <rPr>
        <b/>
        <sz val="10"/>
        <color rgb="FFFF0000"/>
        <rFont val="Trebuchet MS"/>
        <family val="2"/>
      </rPr>
      <t xml:space="preserve">25 %   </t>
    </r>
    <r>
      <rPr>
        <b/>
        <sz val="10"/>
        <rFont val="Trebuchet MS"/>
        <family val="2"/>
      </rPr>
      <t xml:space="preserve">  </t>
    </r>
  </si>
  <si>
    <t>URBAN</t>
  </si>
  <si>
    <t>Various steps are being taken to reduce the losses of feeder having high losses</t>
  </si>
  <si>
    <t>8+1*</t>
  </si>
  <si>
    <t>*Newly created feeders</t>
  </si>
  <si>
    <r>
      <t xml:space="preserve">Nos of feeders </t>
    </r>
    <r>
      <rPr>
        <b/>
        <sz val="10"/>
        <color rgb="FFFF0000"/>
        <rFont val="Trebuchet MS"/>
        <family val="2"/>
      </rPr>
      <t>having more than 10%</t>
    </r>
    <r>
      <rPr>
        <b/>
        <sz val="10"/>
        <rFont val="Trebuchet MS"/>
        <family val="2"/>
      </rPr>
      <t xml:space="preserve"> where losses increased in current period</t>
    </r>
  </si>
  <si>
    <r>
      <t>Nos. of feeders having losses more than</t>
    </r>
    <r>
      <rPr>
        <b/>
        <sz val="10"/>
        <color rgb="FFFF0000"/>
        <rFont val="Trebuchet MS"/>
        <family val="2"/>
      </rPr>
      <t xml:space="preserve"> 10 %     </t>
    </r>
  </si>
  <si>
    <t>IND</t>
  </si>
</sst>
</file>

<file path=xl/styles.xml><?xml version="1.0" encoding="utf-8"?>
<styleSheet xmlns="http://schemas.openxmlformats.org/spreadsheetml/2006/main">
  <numFmts count="3">
    <numFmt numFmtId="164" formatCode="0.000"/>
    <numFmt numFmtId="165" formatCode="0.0000"/>
    <numFmt numFmtId="166" formatCode="[$-409]mmm\-yy;@"/>
  </numFmts>
  <fonts count="58">
    <font>
      <sz val="10"/>
      <name val="Arial"/>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sz val="10"/>
      <color theme="1"/>
      <name val="Trebuchet MS"/>
      <family val="2"/>
    </font>
    <font>
      <b/>
      <sz val="18"/>
      <color theme="1"/>
      <name val="Trebuchet MS"/>
      <family val="2"/>
    </font>
    <font>
      <b/>
      <sz val="12"/>
      <color theme="1"/>
      <name val="Trebuchet MS"/>
      <family val="2"/>
    </font>
    <font>
      <b/>
      <sz val="14"/>
      <color theme="1"/>
      <name val="Trebuchet MS"/>
      <family val="2"/>
    </font>
    <font>
      <b/>
      <sz val="11"/>
      <color theme="1"/>
      <name val="Trebuchet MS"/>
      <family val="2"/>
    </font>
    <font>
      <sz val="12"/>
      <color theme="1"/>
      <name val="Trebuchet MS"/>
      <family val="2"/>
    </font>
    <font>
      <sz val="14"/>
      <color theme="1"/>
      <name val="Trebuchet MS"/>
      <family val="2"/>
    </font>
    <font>
      <b/>
      <sz val="10"/>
      <color theme="1"/>
      <name val="Trebuchet MS"/>
      <family val="2"/>
    </font>
    <font>
      <b/>
      <sz val="11"/>
      <name val="Trebuchet MS"/>
      <family val="2"/>
    </font>
    <font>
      <b/>
      <sz val="10"/>
      <name val="Trebuchet MS"/>
      <family val="2"/>
    </font>
    <font>
      <b/>
      <sz val="10"/>
      <color rgb="FFFF0000"/>
      <name val="Trebuchet MS"/>
      <family val="2"/>
    </font>
    <font>
      <sz val="10"/>
      <name val="Trebuchet MS"/>
      <family val="2"/>
    </font>
    <font>
      <sz val="8"/>
      <name val="Trebuchet MS"/>
      <family val="2"/>
    </font>
    <font>
      <sz val="8"/>
      <color theme="1"/>
      <name val="Trebuchet MS"/>
      <family val="2"/>
    </font>
    <font>
      <b/>
      <sz val="8"/>
      <name val="Trebuchet MS"/>
      <family val="2"/>
    </font>
    <font>
      <sz val="10"/>
      <color rgb="FFFF0000"/>
      <name val="Trebuchet MS"/>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0" fontId="5" fillId="0" borderId="0"/>
    <xf numFmtId="9" fontId="41" fillId="0" borderId="0" applyFont="0" applyFill="0" applyBorder="0" applyAlignment="0" applyProtection="0"/>
    <xf numFmtId="9" fontId="5" fillId="0" borderId="0" applyFont="0" applyFill="0" applyBorder="0" applyAlignment="0" applyProtection="0"/>
  </cellStyleXfs>
  <cellXfs count="416">
    <xf numFmtId="0" fontId="0" fillId="0" borderId="0" xfId="0"/>
    <xf numFmtId="0" fontId="2" fillId="0" borderId="2" xfId="0" applyFont="1" applyBorder="1" applyAlignment="1">
      <alignment horizontal="center" vertical="center" wrapText="1"/>
    </xf>
    <xf numFmtId="10" fontId="0" fillId="0" borderId="0" xfId="0" applyNumberFormat="1"/>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xf numFmtId="0" fontId="5" fillId="0" borderId="14" xfId="0" applyFont="1" applyBorder="1"/>
    <xf numFmtId="0" fontId="5" fillId="0" borderId="0" xfId="0" applyFont="1" applyBorder="1" applyAlignment="1">
      <alignment horizontal="left"/>
    </xf>
    <xf numFmtId="0" fontId="5" fillId="0" borderId="0" xfId="0" applyFont="1" applyBorder="1"/>
    <xf numFmtId="0" fontId="2" fillId="0" borderId="0" xfId="0" applyFont="1" applyFill="1" applyBorder="1" applyAlignment="1">
      <alignment horizontal="left" vertical="center" wrapText="1"/>
    </xf>
    <xf numFmtId="0" fontId="6" fillId="0" borderId="0" xfId="0" applyFont="1" applyBorder="1" applyAlignment="1">
      <alignment horizontal="right"/>
    </xf>
    <xf numFmtId="0" fontId="6" fillId="0" borderId="17" xfId="0" applyFont="1" applyBorder="1" applyAlignment="1">
      <alignment horizontal="right"/>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xf numFmtId="0" fontId="9" fillId="0" borderId="0" xfId="0" applyFont="1"/>
    <xf numFmtId="0" fontId="12" fillId="0" borderId="1" xfId="0" applyFont="1" applyBorder="1" applyAlignment="1">
      <alignment horizontal="right" vertical="center" wrapText="1"/>
    </xf>
    <xf numFmtId="0" fontId="11" fillId="0" borderId="2" xfId="0" applyFont="1" applyBorder="1" applyAlignment="1">
      <alignment horizontal="center" vertical="center" wrapText="1"/>
    </xf>
    <xf numFmtId="2" fontId="12" fillId="0" borderId="1" xfId="0" applyNumberFormat="1" applyFont="1" applyBorder="1" applyAlignment="1">
      <alignment vertical="center" wrapText="1"/>
    </xf>
    <xf numFmtId="1" fontId="12" fillId="0" borderId="2" xfId="0" applyNumberFormat="1" applyFont="1" applyBorder="1" applyAlignment="1">
      <alignment horizontal="right" vertical="center" wrapText="1"/>
    </xf>
    <xf numFmtId="0" fontId="13" fillId="0" borderId="0" xfId="0" applyFont="1" applyBorder="1" applyAlignment="1">
      <alignment horizontal="right"/>
    </xf>
    <xf numFmtId="0" fontId="13" fillId="0" borderId="0" xfId="0" applyFont="1"/>
    <xf numFmtId="0" fontId="15"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 fontId="10" fillId="0" borderId="1" xfId="0" applyNumberFormat="1" applyFont="1" applyBorder="1"/>
    <xf numFmtId="0" fontId="10" fillId="0" borderId="1" xfId="0" applyFont="1" applyBorder="1"/>
    <xf numFmtId="0" fontId="11" fillId="0" borderId="20" xfId="0" applyFont="1" applyBorder="1" applyAlignment="1">
      <alignment vertical="center" wrapText="1"/>
    </xf>
    <xf numFmtId="0" fontId="17" fillId="0" borderId="0" xfId="0" applyFont="1" applyAlignment="1">
      <alignment horizontal="left" wrapText="1"/>
    </xf>
    <xf numFmtId="0" fontId="17" fillId="0" borderId="0" xfId="0" applyFont="1" applyAlignment="1">
      <alignment horizontal="right" wrapText="1"/>
    </xf>
    <xf numFmtId="0" fontId="16" fillId="0" borderId="0" xfId="0" applyFont="1" applyAlignment="1">
      <alignment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1" fontId="5" fillId="0" borderId="0" xfId="0" applyNumberFormat="1" applyFont="1"/>
    <xf numFmtId="2" fontId="10" fillId="0" borderId="1" xfId="0" applyNumberFormat="1" applyFont="1" applyBorder="1"/>
    <xf numFmtId="1" fontId="12" fillId="0" borderId="4" xfId="0" applyNumberFormat="1" applyFont="1" applyBorder="1" applyAlignment="1">
      <alignment vertical="center" wrapText="1"/>
    </xf>
    <xf numFmtId="1" fontId="12" fillId="0" borderId="1" xfId="0" applyNumberFormat="1" applyFont="1" applyBorder="1" applyAlignment="1">
      <alignment vertical="center" wrapText="1"/>
    </xf>
    <xf numFmtId="1" fontId="12"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11"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0" fontId="12" fillId="0" borderId="1" xfId="0" applyNumberFormat="1" applyFont="1" applyBorder="1" applyAlignment="1">
      <alignment horizontal="right" vertical="center" wrapText="1"/>
    </xf>
    <xf numFmtId="0" fontId="12" fillId="0" borderId="16" xfId="0" applyFont="1" applyBorder="1" applyAlignment="1">
      <alignment horizontal="right" vertical="center" wrapText="1"/>
    </xf>
    <xf numFmtId="0" fontId="11" fillId="0" borderId="1" xfId="0" applyFont="1" applyFill="1" applyBorder="1" applyAlignment="1">
      <alignment horizontal="center" vertical="center" wrapText="1"/>
    </xf>
    <xf numFmtId="0" fontId="13" fillId="0" borderId="0" xfId="0" applyFont="1" applyFill="1"/>
    <xf numFmtId="2" fontId="12" fillId="0" borderId="4" xfId="0" applyNumberFormat="1" applyFont="1" applyFill="1" applyBorder="1" applyAlignment="1">
      <alignment horizontal="right" vertical="center" wrapText="1"/>
    </xf>
    <xf numFmtId="2" fontId="12" fillId="0" borderId="2" xfId="0" applyNumberFormat="1" applyFont="1" applyFill="1" applyBorder="1" applyAlignment="1">
      <alignment horizontal="right" vertical="center" wrapText="1"/>
    </xf>
    <xf numFmtId="0" fontId="15" fillId="0" borderId="0" xfId="0" applyFont="1" applyFill="1"/>
    <xf numFmtId="0" fontId="21" fillId="0" borderId="0" xfId="0" applyFont="1" applyFill="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0" xfId="0" applyFont="1" applyFill="1"/>
    <xf numFmtId="0" fontId="12" fillId="0" borderId="0" xfId="0" applyFont="1" applyFill="1"/>
    <xf numFmtId="0" fontId="14" fillId="0" borderId="6"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center"/>
    </xf>
    <xf numFmtId="0" fontId="14"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center" vertical="center" wrapText="1"/>
    </xf>
    <xf numFmtId="165" fontId="24" fillId="0" borderId="0" xfId="0" applyNumberFormat="1" applyFont="1" applyFill="1"/>
    <xf numFmtId="0" fontId="25" fillId="0" borderId="0" xfId="0" applyFont="1" applyFill="1"/>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4" fillId="0" borderId="0" xfId="0" applyFont="1" applyFill="1"/>
    <xf numFmtId="2" fontId="24" fillId="0" borderId="0" xfId="0" applyNumberFormat="1" applyFont="1" applyFill="1"/>
    <xf numFmtId="0" fontId="15" fillId="0" borderId="0" xfId="0" applyFont="1"/>
    <xf numFmtId="0" fontId="21" fillId="0" borderId="0" xfId="0" applyFont="1" applyAlignment="1">
      <alignment horizontal="center" vertical="center" wrapText="1"/>
    </xf>
    <xf numFmtId="0" fontId="28" fillId="0" borderId="0" xfId="0" applyFont="1" applyAlignment="1">
      <alignment horizont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left" vertical="center" wrapText="1"/>
    </xf>
    <xf numFmtId="10" fontId="12" fillId="0" borderId="8" xfId="0" applyNumberFormat="1" applyFont="1" applyBorder="1" applyAlignment="1">
      <alignment horizontal="right" vertical="center" wrapText="1"/>
    </xf>
    <xf numFmtId="0" fontId="11" fillId="0" borderId="6"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Border="1" applyAlignment="1">
      <alignment horizontal="center" vertical="center" wrapText="1"/>
    </xf>
    <xf numFmtId="2" fontId="15" fillId="0" borderId="0" xfId="0" applyNumberFormat="1" applyFont="1"/>
    <xf numFmtId="164" fontId="31" fillId="0" borderId="0" xfId="0" applyNumberFormat="1" applyFont="1"/>
    <xf numFmtId="0" fontId="11" fillId="0" borderId="13"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1" xfId="0" applyFont="1" applyBorder="1" applyAlignment="1">
      <alignment horizontal="right" vertical="center" wrapText="1"/>
    </xf>
    <xf numFmtId="2" fontId="12" fillId="0" borderId="2" xfId="0" applyNumberFormat="1" applyFont="1" applyBorder="1" applyAlignment="1">
      <alignment horizontal="right" vertical="center" wrapText="1"/>
    </xf>
    <xf numFmtId="0" fontId="11" fillId="0" borderId="2" xfId="0" applyFont="1" applyBorder="1" applyAlignment="1">
      <alignment horizontal="right" vertical="center" wrapText="1"/>
    </xf>
    <xf numFmtId="0" fontId="11" fillId="0" borderId="12" xfId="0" applyFont="1" applyBorder="1" applyAlignment="1">
      <alignment horizontal="right" vertical="center" wrapText="1"/>
    </xf>
    <xf numFmtId="0" fontId="32" fillId="0" borderId="0" xfId="0" applyFont="1" applyAlignment="1">
      <alignment vertical="center" wrapText="1"/>
    </xf>
    <xf numFmtId="0" fontId="29" fillId="0" borderId="0" xfId="0" applyFont="1" applyAlignment="1">
      <alignment horizontal="center" vertical="center" wrapText="1"/>
    </xf>
    <xf numFmtId="0" fontId="14" fillId="0" borderId="0" xfId="0" applyFont="1"/>
    <xf numFmtId="2" fontId="14" fillId="0" borderId="0" xfId="0" applyNumberFormat="1" applyFont="1"/>
    <xf numFmtId="0" fontId="12" fillId="0" borderId="0" xfId="0" applyFont="1" applyAlignment="1">
      <alignment horizontal="center" vertical="center"/>
    </xf>
    <xf numFmtId="2" fontId="25" fillId="0" borderId="0" xfId="0" applyNumberFormat="1" applyFont="1"/>
    <xf numFmtId="0" fontId="12" fillId="0" borderId="0" xfId="0" applyFont="1"/>
    <xf numFmtId="0" fontId="28" fillId="0" borderId="0" xfId="0" applyFont="1" applyFill="1" applyBorder="1" applyAlignment="1">
      <alignment horizontal="left" vertical="center" wrapText="1"/>
    </xf>
    <xf numFmtId="1" fontId="12" fillId="0" borderId="1" xfId="0" applyNumberFormat="1" applyFont="1" applyFill="1" applyBorder="1" applyAlignment="1">
      <alignment horizontal="right" vertical="center" wrapText="1"/>
    </xf>
    <xf numFmtId="0" fontId="15" fillId="0" borderId="14" xfId="0" applyFont="1" applyFill="1" applyBorder="1"/>
    <xf numFmtId="0" fontId="15" fillId="0" borderId="0" xfId="0" applyFont="1" applyFill="1" applyBorder="1" applyAlignment="1">
      <alignment horizontal="left"/>
    </xf>
    <xf numFmtId="0" fontId="15" fillId="0" borderId="0" xfId="0" applyFont="1" applyFill="1" applyBorder="1"/>
    <xf numFmtId="0" fontId="13" fillId="0" borderId="0" xfId="0" applyFont="1" applyFill="1" applyBorder="1" applyAlignment="1">
      <alignment horizontal="right"/>
    </xf>
    <xf numFmtId="0" fontId="11" fillId="0"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3" fillId="0" borderId="0" xfId="0" applyFont="1" applyFill="1"/>
    <xf numFmtId="2" fontId="33" fillId="0" borderId="0" xfId="0" applyNumberFormat="1" applyFont="1" applyFill="1"/>
    <xf numFmtId="0" fontId="34" fillId="0" borderId="0" xfId="0" applyFont="1" applyFill="1" applyAlignment="1">
      <alignment horizontal="center"/>
    </xf>
    <xf numFmtId="0" fontId="34" fillId="0" borderId="0" xfId="0" applyFont="1" applyFill="1"/>
    <xf numFmtId="2" fontId="34" fillId="0" borderId="0" xfId="0" applyNumberFormat="1" applyFont="1" applyFill="1"/>
    <xf numFmtId="10" fontId="15" fillId="0" borderId="0" xfId="0" applyNumberFormat="1" applyFont="1" applyFill="1"/>
    <xf numFmtId="1" fontId="12" fillId="0" borderId="2" xfId="0" applyNumberFormat="1" applyFont="1" applyBorder="1" applyAlignment="1">
      <alignment vertical="center" wrapText="1"/>
    </xf>
    <xf numFmtId="0" fontId="2" fillId="0" borderId="28"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10" fontId="14" fillId="0" borderId="8" xfId="0" applyNumberFormat="1" applyFont="1" applyBorder="1" applyAlignment="1">
      <alignment horizontal="right" vertical="center" wrapText="1"/>
    </xf>
    <xf numFmtId="2" fontId="35" fillId="0" borderId="0" xfId="0" applyNumberFormat="1" applyFont="1"/>
    <xf numFmtId="10" fontId="35" fillId="0" borderId="0" xfId="0" applyNumberFormat="1" applyFont="1"/>
    <xf numFmtId="0" fontId="36" fillId="0" borderId="0" xfId="0" applyFont="1"/>
    <xf numFmtId="1" fontId="13" fillId="0" borderId="0" xfId="0" applyNumberFormat="1" applyFont="1" applyBorder="1" applyAlignment="1">
      <alignment horizontal="right"/>
    </xf>
    <xf numFmtId="1" fontId="12" fillId="0" borderId="1" xfId="0" applyNumberFormat="1" applyFont="1" applyBorder="1" applyAlignment="1">
      <alignment horizontal="right" vertical="center" wrapText="1"/>
    </xf>
    <xf numFmtId="0" fontId="37" fillId="0" borderId="0" xfId="0" applyFont="1" applyFill="1"/>
    <xf numFmtId="0" fontId="38" fillId="0" borderId="0" xfId="0" applyFont="1" applyFill="1"/>
    <xf numFmtId="2" fontId="39" fillId="0" borderId="8" xfId="0" applyNumberFormat="1" applyFont="1" applyBorder="1" applyAlignment="1">
      <alignment horizontal="right" vertical="center" wrapText="1"/>
    </xf>
    <xf numFmtId="10" fontId="12" fillId="0" borderId="4" xfId="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10" fontId="12" fillId="0" borderId="2" xfId="0" applyNumberFormat="1" applyFont="1" applyBorder="1" applyAlignment="1">
      <alignment horizontal="right" vertical="center" wrapText="1"/>
    </xf>
    <xf numFmtId="10" fontId="12" fillId="0" borderId="12"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13" fillId="0" borderId="17" xfId="0" applyFont="1" applyBorder="1" applyAlignment="1">
      <alignment horizontal="right"/>
    </xf>
    <xf numFmtId="10" fontId="12" fillId="0" borderId="21"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1" xfId="0" applyFont="1" applyBorder="1" applyAlignment="1">
      <alignment horizontal="center" vertical="center" wrapText="1"/>
    </xf>
    <xf numFmtId="2"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8" xfId="0" applyNumberFormat="1" applyFont="1" applyBorder="1" applyAlignment="1">
      <alignment horizontal="right" vertical="center" wrapText="1"/>
    </xf>
    <xf numFmtId="0" fontId="11" fillId="0" borderId="18" xfId="0" applyFont="1" applyBorder="1" applyAlignment="1">
      <alignment horizontal="center" vertical="center" wrapText="1"/>
    </xf>
    <xf numFmtId="0" fontId="11" fillId="0" borderId="1" xfId="0" applyFont="1" applyBorder="1" applyAlignment="1">
      <alignment horizontal="center" vertical="center" wrapText="1"/>
    </xf>
    <xf numFmtId="2" fontId="40" fillId="0" borderId="1" xfId="0" applyNumberFormat="1" applyFont="1" applyBorder="1" applyAlignment="1">
      <alignment horizontal="right" vertical="center" wrapText="1"/>
    </xf>
    <xf numFmtId="0" fontId="38" fillId="0" borderId="0" xfId="0" applyFont="1" applyFill="1" applyBorder="1" applyAlignment="1">
      <alignment horizontal="right"/>
    </xf>
    <xf numFmtId="0" fontId="38" fillId="0" borderId="17" xfId="0" applyFont="1" applyFill="1" applyBorder="1" applyAlignment="1">
      <alignment horizontal="right"/>
    </xf>
    <xf numFmtId="0" fontId="39" fillId="0" borderId="2" xfId="0" applyFont="1" applyBorder="1" applyAlignment="1">
      <alignment horizontal="center" vertical="center" wrapText="1"/>
    </xf>
    <xf numFmtId="0" fontId="39" fillId="0" borderId="12" xfId="0" applyFont="1" applyBorder="1" applyAlignment="1">
      <alignment horizontal="center" vertical="center" wrapText="1"/>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10" fontId="12" fillId="0" borderId="2" xfId="0" applyNumberFormat="1" applyFont="1" applyFill="1" applyBorder="1" applyAlignment="1">
      <alignment horizontal="right" vertical="center" wrapText="1"/>
    </xf>
    <xf numFmtId="10" fontId="12" fillId="0" borderId="12"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2"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2" fontId="12" fillId="0" borderId="1" xfId="0" applyNumberFormat="1" applyFont="1" applyFill="1" applyBorder="1" applyAlignment="1">
      <alignment horizontal="right" vertical="center" wrapText="1"/>
    </xf>
    <xf numFmtId="10" fontId="12" fillId="0" borderId="8"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0" fontId="8" fillId="0" borderId="1" xfId="0" applyNumberFormat="1" applyFont="1" applyBorder="1" applyAlignment="1">
      <alignment horizontal="right" vertical="center" wrapText="1"/>
    </xf>
    <xf numFmtId="0" fontId="2" fillId="0" borderId="10" xfId="0" applyFont="1" applyBorder="1" applyAlignment="1">
      <alignment horizontal="center" vertical="center" wrapText="1"/>
    </xf>
    <xf numFmtId="2" fontId="8" fillId="0" borderId="1" xfId="0" applyNumberFormat="1" applyFont="1" applyBorder="1" applyAlignment="1">
      <alignment vertical="center" wrapText="1"/>
    </xf>
    <xf numFmtId="2" fontId="8" fillId="0" borderId="15" xfId="0" applyNumberFormat="1" applyFont="1" applyBorder="1" applyAlignment="1">
      <alignment vertical="center" wrapText="1"/>
    </xf>
    <xf numFmtId="10" fontId="8" fillId="0" borderId="8" xfId="0" applyNumberFormat="1" applyFont="1" applyBorder="1" applyAlignment="1">
      <alignment horizontal="right" vertical="center" wrapText="1"/>
    </xf>
    <xf numFmtId="2" fontId="11" fillId="0" borderId="8" xfId="0" applyNumberFormat="1" applyFont="1" applyBorder="1" applyAlignment="1">
      <alignment horizontal="right" vertical="center" wrapText="1"/>
    </xf>
    <xf numFmtId="10" fontId="12" fillId="0" borderId="15" xfId="0" applyNumberFormat="1" applyFont="1" applyBorder="1" applyAlignment="1">
      <alignment horizontal="right" vertical="center" wrapText="1"/>
    </xf>
    <xf numFmtId="10" fontId="12" fillId="2" borderId="1" xfId="0" applyNumberFormat="1" applyFont="1" applyFill="1" applyBorder="1" applyAlignment="1">
      <alignment horizontal="right" vertical="center" wrapText="1"/>
    </xf>
    <xf numFmtId="10" fontId="12" fillId="2" borderId="15" xfId="0" applyNumberFormat="1" applyFont="1" applyFill="1" applyBorder="1" applyAlignment="1">
      <alignment horizontal="right" vertical="center" wrapText="1"/>
    </xf>
    <xf numFmtId="0" fontId="12" fillId="0" borderId="8" xfId="0" applyFont="1" applyBorder="1" applyAlignment="1">
      <alignment horizontal="right" vertical="center" wrapText="1"/>
    </xf>
    <xf numFmtId="0" fontId="12" fillId="0" borderId="15" xfId="0" applyFont="1" applyBorder="1" applyAlignment="1">
      <alignment horizontal="right" vertical="center" wrapText="1"/>
    </xf>
    <xf numFmtId="10" fontId="12" fillId="0" borderId="4" xfId="0" applyNumberFormat="1" applyFont="1" applyFill="1" applyBorder="1" applyAlignment="1">
      <alignment horizontal="right" vertical="center" wrapText="1"/>
    </xf>
    <xf numFmtId="10" fontId="12" fillId="0" borderId="7" xfId="0" applyNumberFormat="1" applyFont="1" applyFill="1" applyBorder="1" applyAlignment="1">
      <alignment horizontal="right" vertical="center" wrapText="1"/>
    </xf>
    <xf numFmtId="164" fontId="12" fillId="0" borderId="4"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2" fontId="12" fillId="0" borderId="3" xfId="0" applyNumberFormat="1" applyFont="1" applyFill="1" applyBorder="1" applyAlignment="1">
      <alignment horizontal="right" vertical="center" wrapText="1"/>
    </xf>
    <xf numFmtId="2" fontId="12" fillId="0" borderId="6" xfId="0" applyNumberFormat="1" applyFont="1" applyFill="1" applyBorder="1" applyAlignment="1">
      <alignment horizontal="right" vertical="center" wrapText="1"/>
    </xf>
    <xf numFmtId="0" fontId="34" fillId="0" borderId="0" xfId="0" applyFont="1"/>
    <xf numFmtId="2" fontId="12" fillId="0" borderId="10"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40" fillId="0" borderId="1" xfId="0" applyNumberFormat="1" applyFont="1" applyBorder="1" applyAlignment="1">
      <alignment horizontal="right" vertical="center" wrapText="1"/>
    </xf>
    <xf numFmtId="10" fontId="40" fillId="0" borderId="1" xfId="0" applyNumberFormat="1" applyFont="1" applyFill="1" applyBorder="1" applyAlignment="1">
      <alignment horizontal="right" vertical="center" wrapText="1"/>
    </xf>
    <xf numFmtId="10" fontId="40" fillId="0" borderId="8" xfId="0" applyNumberFormat="1" applyFont="1" applyFill="1" applyBorder="1" applyAlignment="1">
      <alignment horizontal="right" vertical="center" wrapText="1"/>
    </xf>
    <xf numFmtId="10" fontId="40" fillId="0" borderId="21" xfId="0" applyNumberFormat="1" applyFont="1" applyBorder="1" applyAlignment="1">
      <alignment horizontal="right" vertical="center" wrapText="1"/>
    </xf>
    <xf numFmtId="10" fontId="40" fillId="0" borderId="8" xfId="0" applyNumberFormat="1" applyFont="1" applyBorder="1" applyAlignment="1">
      <alignment horizontal="right" vertical="center" wrapText="1"/>
    </xf>
    <xf numFmtId="10" fontId="12" fillId="0" borderId="1" xfId="2"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11" fillId="0" borderId="18" xfId="0" applyFont="1" applyBorder="1" applyAlignment="1">
      <alignment horizontal="center"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2" fontId="34" fillId="0" borderId="0" xfId="0" applyNumberFormat="1" applyFont="1"/>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right" vertical="center" wrapText="1"/>
    </xf>
    <xf numFmtId="10" fontId="15" fillId="0" borderId="0" xfId="0" applyNumberFormat="1" applyFont="1"/>
    <xf numFmtId="1" fontId="13" fillId="0" borderId="0" xfId="0" applyNumberFormat="1" applyFont="1" applyFill="1" applyBorder="1" applyAlignment="1">
      <alignment horizontal="right"/>
    </xf>
    <xf numFmtId="1" fontId="12" fillId="0" borderId="4" xfId="0" applyNumberFormat="1" applyFont="1" applyFill="1" applyBorder="1" applyAlignment="1">
      <alignment vertical="center" wrapText="1"/>
    </xf>
    <xf numFmtId="1" fontId="12" fillId="0" borderId="5"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5" xfId="0" applyNumberFormat="1" applyFont="1" applyFill="1" applyBorder="1" applyAlignment="1">
      <alignment horizontal="right" vertical="center" wrapText="1"/>
    </xf>
    <xf numFmtId="2" fontId="15" fillId="0" borderId="0" xfId="2" applyNumberFormat="1" applyFont="1"/>
    <xf numFmtId="10" fontId="15" fillId="0" borderId="0" xfId="2" applyNumberFormat="1" applyFont="1"/>
    <xf numFmtId="1" fontId="12" fillId="0" borderId="1" xfId="0" applyNumberFormat="1" applyFont="1" applyBorder="1" applyAlignment="1">
      <alignment vertical="center" wrapText="1"/>
    </xf>
    <xf numFmtId="1" fontId="12" fillId="0" borderId="28" xfId="0" applyNumberFormat="1" applyFont="1" applyFill="1" applyBorder="1" applyAlignment="1">
      <alignment horizontal="right" vertical="center" wrapText="1"/>
    </xf>
    <xf numFmtId="1" fontId="12" fillId="0" borderId="5" xfId="0" quotePrefix="1" applyNumberFormat="1" applyFont="1" applyFill="1" applyBorder="1" applyAlignment="1">
      <alignment horizontal="right" vertical="center" wrapText="1"/>
    </xf>
    <xf numFmtId="1" fontId="12" fillId="0" borderId="6" xfId="0" applyNumberFormat="1" applyFont="1" applyFill="1" applyBorder="1" applyAlignment="1">
      <alignment horizontal="right" vertical="center" wrapText="1"/>
    </xf>
    <xf numFmtId="1" fontId="12" fillId="0" borderId="1" xfId="0" quotePrefix="1" applyNumberFormat="1" applyFont="1" applyFill="1" applyBorder="1" applyAlignment="1">
      <alignment horizontal="right" vertical="center" wrapText="1"/>
    </xf>
    <xf numFmtId="1" fontId="12" fillId="0" borderId="21"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 fontId="12" fillId="0" borderId="5" xfId="0" applyNumberFormat="1" applyFont="1" applyFill="1" applyBorder="1" applyAlignment="1">
      <alignment horizontal="right" vertical="center" wrapText="1"/>
    </xf>
    <xf numFmtId="1" fontId="12" fillId="0" borderId="1" xfId="0" applyNumberFormat="1" applyFont="1" applyFill="1" applyBorder="1" applyAlignment="1">
      <alignment horizontal="right" vertical="center" wrapText="1"/>
    </xf>
    <xf numFmtId="9" fontId="15" fillId="0" borderId="0" xfId="2" applyFont="1"/>
    <xf numFmtId="10" fontId="13" fillId="0" borderId="0" xfId="2" applyNumberFormat="1" applyFont="1"/>
    <xf numFmtId="10"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1" fontId="12" fillId="0" borderId="2" xfId="0" applyNumberFormat="1" applyFont="1" applyFill="1" applyBorder="1" applyAlignment="1">
      <alignment horizontal="right" vertical="center" wrapText="1"/>
    </xf>
    <xf numFmtId="1" fontId="12" fillId="0" borderId="1"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6" xfId="0" applyNumberFormat="1" applyFont="1" applyFill="1" applyBorder="1" applyAlignment="1">
      <alignment horizontal="right" vertical="center" wrapText="1"/>
    </xf>
    <xf numFmtId="1" fontId="12" fillId="0" borderId="1" xfId="0" quotePrefix="1" applyNumberFormat="1" applyFont="1" applyFill="1" applyBorder="1" applyAlignment="1">
      <alignment horizontal="right" vertical="center" wrapText="1"/>
    </xf>
    <xf numFmtId="2" fontId="12" fillId="0" borderId="28" xfId="0" applyNumberFormat="1" applyFont="1" applyFill="1" applyBorder="1" applyAlignment="1">
      <alignment horizontal="right" vertical="center" wrapText="1"/>
    </xf>
    <xf numFmtId="2" fontId="12" fillId="0" borderId="5" xfId="0" quotePrefix="1" applyNumberFormat="1" applyFont="1" applyFill="1" applyBorder="1" applyAlignment="1">
      <alignment horizontal="right" vertical="center" wrapText="1"/>
    </xf>
    <xf numFmtId="1" fontId="12" fillId="0" borderId="10" xfId="0" applyNumberFormat="1" applyFont="1" applyFill="1" applyBorder="1" applyAlignment="1">
      <alignment horizontal="right" vertical="center" wrapText="1"/>
    </xf>
    <xf numFmtId="1" fontId="12" fillId="0" borderId="21" xfId="0" applyNumberFormat="1" applyFont="1" applyFill="1" applyBorder="1" applyAlignment="1">
      <alignment horizontal="right" vertical="center" wrapText="1"/>
    </xf>
    <xf numFmtId="2" fontId="12" fillId="0" borderId="30" xfId="0" applyNumberFormat="1" applyFont="1" applyFill="1" applyBorder="1" applyAlignment="1">
      <alignment horizontal="right" vertical="center" wrapText="1"/>
    </xf>
    <xf numFmtId="2" fontId="12" fillId="0" borderId="31" xfId="0" applyNumberFormat="1" applyFont="1" applyFill="1" applyBorder="1" applyAlignment="1">
      <alignment horizontal="right" vertical="center" wrapText="1"/>
    </xf>
    <xf numFmtId="10" fontId="8" fillId="0" borderId="10" xfId="0" applyNumberFormat="1" applyFont="1" applyBorder="1" applyAlignment="1">
      <alignment horizontal="right" vertical="center" wrapText="1"/>
    </xf>
    <xf numFmtId="10" fontId="8" fillId="0" borderId="21" xfId="0" applyNumberFormat="1" applyFont="1" applyBorder="1" applyAlignment="1">
      <alignment horizontal="right" vertical="center" wrapText="1"/>
    </xf>
    <xf numFmtId="2" fontId="12" fillId="0" borderId="10" xfId="0" applyNumberFormat="1" applyFont="1" applyBorder="1" applyAlignment="1">
      <alignment horizontal="right" vertical="center" wrapText="1"/>
    </xf>
    <xf numFmtId="2" fontId="12" fillId="0" borderId="16" xfId="0" applyNumberFormat="1" applyFont="1" applyBorder="1" applyAlignment="1">
      <alignment horizontal="right" vertical="center" wrapText="1"/>
    </xf>
    <xf numFmtId="2" fontId="12" fillId="0" borderId="21" xfId="0" applyNumberFormat="1" applyFont="1" applyBorder="1" applyAlignment="1">
      <alignment horizontal="right" vertical="center" wrapText="1"/>
    </xf>
    <xf numFmtId="10" fontId="8" fillId="0" borderId="16" xfId="0" applyNumberFormat="1" applyFont="1" applyBorder="1" applyAlignment="1">
      <alignment horizontal="right" vertical="center" wrapText="1"/>
    </xf>
    <xf numFmtId="10" fontId="8" fillId="0" borderId="11" xfId="0" applyNumberFormat="1" applyFont="1" applyBorder="1" applyAlignment="1">
      <alignment horizontal="right" vertical="center" wrapText="1"/>
    </xf>
    <xf numFmtId="10" fontId="8" fillId="0" borderId="22" xfId="0" applyNumberFormat="1" applyFont="1" applyBorder="1" applyAlignment="1">
      <alignment horizontal="right" vertical="center" wrapText="1"/>
    </xf>
    <xf numFmtId="2" fontId="12" fillId="0" borderId="10"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10" fontId="8" fillId="0" borderId="23" xfId="0" applyNumberFormat="1" applyFont="1" applyBorder="1" applyAlignment="1">
      <alignment horizontal="right" vertical="center" wrapText="1"/>
    </xf>
    <xf numFmtId="0" fontId="26"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21" xfId="0" applyFont="1" applyBorder="1" applyAlignment="1">
      <alignment horizontal="center" vertical="center" wrapText="1"/>
    </xf>
    <xf numFmtId="0" fontId="27" fillId="0" borderId="0" xfId="0" applyFont="1" applyAlignment="1">
      <alignment horizontal="center"/>
    </xf>
    <xf numFmtId="0" fontId="29"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30" fillId="0" borderId="0" xfId="0" applyFont="1" applyAlignment="1">
      <alignment horizontal="center"/>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vertical="center" wrapText="1"/>
    </xf>
    <xf numFmtId="0" fontId="22" fillId="0" borderId="0" xfId="0" applyFont="1" applyFill="1" applyAlignment="1">
      <alignment horizontal="center"/>
    </xf>
    <xf numFmtId="10" fontId="12" fillId="0" borderId="11" xfId="0" applyNumberFormat="1" applyFont="1" applyFill="1" applyBorder="1" applyAlignment="1">
      <alignment horizontal="right" vertical="center" wrapText="1"/>
    </xf>
    <xf numFmtId="10" fontId="12" fillId="0" borderId="22" xfId="0" applyNumberFormat="1" applyFont="1" applyFill="1" applyBorder="1" applyAlignment="1">
      <alignment horizontal="right" vertical="center" wrapText="1"/>
    </xf>
    <xf numFmtId="164" fontId="12" fillId="0" borderId="10" xfId="0" applyNumberFormat="1"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10" fontId="12" fillId="0" borderId="10" xfId="0" applyNumberFormat="1" applyFont="1" applyFill="1" applyBorder="1" applyAlignment="1">
      <alignment vertical="center" wrapText="1"/>
    </xf>
    <xf numFmtId="10" fontId="12" fillId="0" borderId="21" xfId="0" applyNumberFormat="1" applyFont="1" applyFill="1" applyBorder="1" applyAlignment="1">
      <alignment vertical="center" wrapText="1"/>
    </xf>
    <xf numFmtId="1" fontId="12" fillId="0" borderId="10" xfId="0" applyNumberFormat="1" applyFont="1" applyFill="1" applyBorder="1" applyAlignment="1">
      <alignment horizontal="right" vertical="center" wrapText="1"/>
    </xf>
    <xf numFmtId="1" fontId="12" fillId="0" borderId="21" xfId="0" applyNumberFormat="1" applyFont="1" applyFill="1" applyBorder="1" applyAlignment="1">
      <alignment horizontal="right" vertical="center" wrapText="1"/>
    </xf>
    <xf numFmtId="0" fontId="23" fillId="0" borderId="0" xfId="0" applyFont="1" applyFill="1" applyAlignment="1">
      <alignment horizontal="center" vertical="center" wrapText="1"/>
    </xf>
    <xf numFmtId="10" fontId="12" fillId="0" borderId="10" xfId="0" applyNumberFormat="1" applyFont="1" applyFill="1" applyBorder="1" applyAlignment="1">
      <alignment horizontal="right" vertical="center" wrapText="1"/>
    </xf>
    <xf numFmtId="10" fontId="12" fillId="0" borderId="2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2" fontId="12" fillId="0" borderId="13" xfId="0" applyNumberFormat="1" applyFont="1" applyFill="1" applyBorder="1" applyAlignment="1">
      <alignment horizontal="right" vertical="center" wrapText="1"/>
    </xf>
    <xf numFmtId="2" fontId="12" fillId="0" borderId="28" xfId="0" applyNumberFormat="1" applyFont="1" applyFill="1" applyBorder="1" applyAlignment="1">
      <alignment horizontal="right" vertical="center" wrapText="1"/>
    </xf>
    <xf numFmtId="0" fontId="7"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1" fontId="12" fillId="0" borderId="1" xfId="0" applyNumberFormat="1" applyFont="1" applyBorder="1" applyAlignment="1">
      <alignment vertical="center" wrapText="1"/>
    </xf>
    <xf numFmtId="10" fontId="12" fillId="0" borderId="8"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 fontId="12" fillId="0" borderId="5" xfId="0" applyNumberFormat="1" applyFont="1" applyFill="1" applyBorder="1" applyAlignment="1">
      <alignment horizontal="right" vertical="center" wrapText="1"/>
    </xf>
    <xf numFmtId="1" fontId="12" fillId="0" borderId="1" xfId="0" applyNumberFormat="1" applyFont="1" applyFill="1" applyBorder="1" applyAlignment="1">
      <alignment horizontal="right" vertical="center" wrapText="1"/>
    </xf>
    <xf numFmtId="10" fontId="12" fillId="0" borderId="11" xfId="0" applyNumberFormat="1" applyFont="1" applyBorder="1" applyAlignment="1">
      <alignment horizontal="right" vertical="center" wrapText="1"/>
    </xf>
    <xf numFmtId="10" fontId="12" fillId="0" borderId="23"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2" fillId="0" borderId="0" xfId="0" applyFont="1" applyFill="1" applyBorder="1"/>
    <xf numFmtId="0" fontId="43" fillId="0" borderId="0" xfId="0" applyFont="1" applyFill="1" applyAlignment="1">
      <alignment horizontal="center"/>
    </xf>
    <xf numFmtId="0" fontId="44" fillId="0" borderId="0" xfId="0" applyFont="1" applyFill="1" applyAlignment="1">
      <alignment horizontal="center" vertical="center"/>
    </xf>
    <xf numFmtId="0" fontId="43" fillId="0" borderId="0" xfId="0" applyFont="1" applyFill="1" applyAlignment="1">
      <alignment horizontal="center" vertical="center" wrapText="1"/>
    </xf>
    <xf numFmtId="0" fontId="44" fillId="0" borderId="32" xfId="0" applyFont="1" applyFill="1" applyBorder="1" applyAlignment="1">
      <alignment horizontal="center" vertical="center"/>
    </xf>
    <xf numFmtId="0" fontId="45" fillId="3" borderId="9" xfId="0" applyFont="1" applyFill="1" applyBorder="1" applyAlignment="1">
      <alignment horizontal="center" vertical="center" wrapText="1"/>
    </xf>
    <xf numFmtId="0" fontId="45" fillId="3" borderId="33"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2" fillId="0" borderId="0" xfId="0" quotePrefix="1" applyFont="1" applyFill="1" applyBorder="1"/>
    <xf numFmtId="0" fontId="44" fillId="0" borderId="34" xfId="0" applyFont="1" applyFill="1" applyBorder="1" applyAlignment="1">
      <alignment horizontal="center" vertical="center"/>
    </xf>
    <xf numFmtId="0" fontId="47" fillId="0" borderId="1" xfId="0" applyFont="1" applyFill="1" applyBorder="1" applyAlignment="1">
      <alignment horizontal="left" vertical="center"/>
    </xf>
    <xf numFmtId="0" fontId="47" fillId="0" borderId="1" xfId="0" applyFont="1" applyFill="1" applyBorder="1" applyAlignment="1">
      <alignment horizontal="center" vertical="center"/>
    </xf>
    <xf numFmtId="0" fontId="47" fillId="0" borderId="1" xfId="0" applyFont="1" applyFill="1" applyBorder="1" applyAlignment="1">
      <alignment vertical="center"/>
    </xf>
    <xf numFmtId="1" fontId="48" fillId="0" borderId="1" xfId="0" applyNumberFormat="1" applyFont="1" applyFill="1" applyBorder="1" applyAlignment="1">
      <alignment horizontal="center" vertical="center" wrapText="1"/>
    </xf>
    <xf numFmtId="1" fontId="48" fillId="0" borderId="8" xfId="0" applyNumberFormat="1" applyFont="1" applyFill="1" applyBorder="1" applyAlignment="1">
      <alignment horizontal="center" vertical="center" wrapText="1"/>
    </xf>
    <xf numFmtId="0" fontId="42" fillId="0" borderId="0" xfId="0" applyNumberFormat="1" applyFont="1" applyFill="1" applyBorder="1"/>
    <xf numFmtId="1" fontId="42" fillId="0" borderId="0" xfId="0" applyNumberFormat="1" applyFont="1" applyFill="1" applyBorder="1"/>
    <xf numFmtId="0" fontId="44" fillId="0" borderId="35" xfId="0" applyFont="1" applyFill="1" applyBorder="1" applyAlignment="1">
      <alignment horizontal="center" vertical="center"/>
    </xf>
    <xf numFmtId="0" fontId="44" fillId="0" borderId="2" xfId="0" applyFont="1" applyFill="1" applyBorder="1" applyAlignment="1">
      <alignment horizontal="left" vertical="center"/>
    </xf>
    <xf numFmtId="0" fontId="44" fillId="0" borderId="2" xfId="0" applyFont="1" applyFill="1" applyBorder="1" applyAlignment="1">
      <alignment horizontal="center" vertical="center"/>
    </xf>
    <xf numFmtId="0" fontId="47" fillId="0" borderId="2" xfId="0" applyFont="1" applyFill="1" applyBorder="1" applyAlignment="1">
      <alignment vertical="center"/>
    </xf>
    <xf numFmtId="1" fontId="48" fillId="0" borderId="2" xfId="0" applyNumberFormat="1" applyFont="1" applyFill="1" applyBorder="1" applyAlignment="1">
      <alignment horizontal="center" vertical="center"/>
    </xf>
    <xf numFmtId="1" fontId="48" fillId="0" borderId="12" xfId="0" applyNumberFormat="1" applyFont="1" applyFill="1" applyBorder="1" applyAlignment="1">
      <alignment horizontal="center" vertical="center"/>
    </xf>
    <xf numFmtId="166" fontId="42" fillId="0" borderId="0" xfId="0" applyNumberFormat="1" applyFont="1" applyFill="1" applyBorder="1"/>
    <xf numFmtId="0" fontId="42" fillId="0" borderId="0" xfId="0" applyFont="1" applyFill="1" applyBorder="1" applyAlignment="1">
      <alignment vertical="center"/>
    </xf>
    <xf numFmtId="0" fontId="46" fillId="0" borderId="7" xfId="0" applyFont="1" applyFill="1" applyBorder="1" applyAlignment="1">
      <alignment horizontal="center" vertical="center" wrapText="1"/>
    </xf>
    <xf numFmtId="1" fontId="49" fillId="0" borderId="0" xfId="0" applyNumberFormat="1" applyFont="1" applyFill="1" applyBorder="1" applyAlignment="1">
      <alignment vertical="center"/>
    </xf>
    <xf numFmtId="0" fontId="48" fillId="0" borderId="1" xfId="0" applyFont="1" applyFill="1" applyBorder="1" applyAlignment="1">
      <alignment vertical="center"/>
    </xf>
    <xf numFmtId="1" fontId="48" fillId="0" borderId="1" xfId="0" applyNumberFormat="1" applyFont="1" applyFill="1" applyBorder="1" applyAlignment="1">
      <alignment vertical="center"/>
    </xf>
    <xf numFmtId="1" fontId="48" fillId="0" borderId="8" xfId="0" applyNumberFormat="1" applyFont="1" applyFill="1" applyBorder="1" applyAlignment="1">
      <alignment vertical="center"/>
    </xf>
    <xf numFmtId="0" fontId="48" fillId="0" borderId="2" xfId="0" applyFont="1" applyFill="1" applyBorder="1" applyAlignment="1">
      <alignment vertical="center"/>
    </xf>
    <xf numFmtId="0" fontId="48" fillId="0" borderId="12" xfId="0" applyFont="1" applyFill="1" applyBorder="1" applyAlignment="1">
      <alignment vertical="center"/>
    </xf>
    <xf numFmtId="0" fontId="42" fillId="0" borderId="0" xfId="0" applyFont="1" applyFill="1" applyBorder="1" applyAlignment="1">
      <alignment horizontal="center" vertical="center"/>
    </xf>
    <xf numFmtId="0" fontId="46" fillId="0" borderId="36"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46" fillId="0" borderId="38" xfId="0" applyFont="1" applyFill="1" applyBorder="1" applyAlignment="1">
      <alignment horizontal="center" vertical="center" wrapText="1"/>
    </xf>
    <xf numFmtId="0" fontId="49" fillId="0" borderId="0" xfId="0" applyFont="1" applyFill="1" applyBorder="1"/>
    <xf numFmtId="0" fontId="50" fillId="0" borderId="39" xfId="1" applyFont="1" applyFill="1" applyBorder="1" applyAlignment="1">
      <alignment horizontal="center" vertical="center" wrapText="1"/>
    </xf>
    <xf numFmtId="0" fontId="50" fillId="0" borderId="40" xfId="1" applyFont="1" applyFill="1" applyBorder="1" applyAlignment="1">
      <alignment horizontal="center" vertical="center" wrapText="1"/>
    </xf>
    <xf numFmtId="0" fontId="50" fillId="0" borderId="41" xfId="1" applyFont="1" applyFill="1" applyBorder="1" applyAlignment="1">
      <alignment horizontal="center" vertical="center" wrapText="1"/>
    </xf>
    <xf numFmtId="0" fontId="42" fillId="0" borderId="0" xfId="0" applyFont="1" applyFill="1"/>
    <xf numFmtId="0" fontId="51" fillId="0" borderId="42" xfId="1" applyFont="1" applyFill="1" applyBorder="1" applyAlignment="1"/>
    <xf numFmtId="0" fontId="51" fillId="0" borderId="43" xfId="1" applyFont="1" applyFill="1" applyBorder="1" applyAlignment="1"/>
    <xf numFmtId="0" fontId="51" fillId="0" borderId="44" xfId="1" applyFont="1" applyFill="1" applyBorder="1" applyAlignment="1"/>
    <xf numFmtId="0" fontId="50" fillId="0" borderId="45" xfId="1" applyFont="1" applyFill="1" applyBorder="1" applyAlignment="1">
      <alignment horizontal="center" vertical="center" wrapText="1"/>
    </xf>
    <xf numFmtId="0" fontId="50" fillId="0" borderId="46" xfId="1" applyFont="1" applyFill="1" applyBorder="1" applyAlignment="1">
      <alignment horizontal="center" vertical="center" wrapText="1"/>
    </xf>
    <xf numFmtId="0" fontId="50" fillId="0" borderId="47"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1" fillId="0" borderId="4" xfId="1" applyFont="1" applyFill="1" applyBorder="1" applyAlignment="1">
      <alignment horizontal="center" vertical="center" wrapText="1"/>
    </xf>
    <xf numFmtId="0" fontId="51" fillId="0" borderId="24" xfId="1" applyFont="1" applyFill="1" applyBorder="1" applyAlignment="1">
      <alignment horizontal="center" vertical="center" wrapText="1"/>
    </xf>
    <xf numFmtId="0" fontId="51" fillId="0" borderId="7" xfId="1" applyFont="1" applyFill="1" applyBorder="1" applyAlignment="1">
      <alignment horizontal="center" vertical="center" wrapText="1"/>
    </xf>
    <xf numFmtId="0" fontId="51" fillId="0" borderId="5"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16" xfId="1" applyFont="1" applyFill="1" applyBorder="1" applyAlignment="1">
      <alignment horizontal="center" vertical="center" wrapText="1"/>
    </xf>
    <xf numFmtId="0" fontId="51" fillId="0" borderId="8" xfId="1" applyFont="1" applyFill="1" applyBorder="1" applyAlignment="1">
      <alignment horizontal="center" vertical="center" wrapText="1"/>
    </xf>
    <xf numFmtId="0" fontId="53" fillId="0" borderId="5" xfId="1" applyFont="1" applyFill="1" applyBorder="1" applyAlignment="1">
      <alignment horizontal="center" wrapText="1"/>
    </xf>
    <xf numFmtId="0" fontId="51" fillId="0" borderId="10" xfId="1" applyFont="1" applyFill="1" applyBorder="1" applyAlignment="1">
      <alignment horizontal="center" vertical="center" wrapText="1"/>
    </xf>
    <xf numFmtId="0" fontId="53" fillId="0" borderId="1" xfId="1" applyFont="1" applyFill="1" applyBorder="1" applyAlignment="1">
      <alignment horizontal="center" wrapText="1"/>
    </xf>
    <xf numFmtId="0" fontId="53" fillId="0" borderId="1" xfId="1" applyFont="1" applyFill="1" applyBorder="1" applyAlignment="1">
      <alignment horizontal="center" vertical="center"/>
    </xf>
    <xf numFmtId="2" fontId="53" fillId="0" borderId="1" xfId="1" applyNumberFormat="1" applyFont="1" applyFill="1" applyBorder="1" applyAlignment="1">
      <alignment horizontal="center" wrapText="1"/>
    </xf>
    <xf numFmtId="0" fontId="53" fillId="0" borderId="16" xfId="1" applyFont="1" applyFill="1" applyBorder="1" applyAlignment="1">
      <alignment horizontal="center" wrapText="1"/>
    </xf>
    <xf numFmtId="0" fontId="53" fillId="0" borderId="11" xfId="1" applyFont="1" applyFill="1" applyBorder="1" applyAlignment="1">
      <alignment horizontal="center" vertical="center" wrapText="1"/>
    </xf>
    <xf numFmtId="0" fontId="51" fillId="0" borderId="16" xfId="1" applyFont="1" applyFill="1" applyBorder="1" applyAlignment="1">
      <alignment horizontal="center" vertical="center" wrapText="1"/>
    </xf>
    <xf numFmtId="0" fontId="53" fillId="0" borderId="23" xfId="1" applyFont="1" applyFill="1" applyBorder="1" applyAlignment="1">
      <alignment horizontal="center" vertical="center" wrapText="1"/>
    </xf>
    <xf numFmtId="0" fontId="53" fillId="0" borderId="16" xfId="1" applyFont="1" applyFill="1" applyBorder="1" applyAlignment="1">
      <alignment horizontal="center" vertical="center" wrapText="1"/>
    </xf>
    <xf numFmtId="0" fontId="53" fillId="0" borderId="13" xfId="1" applyFont="1" applyFill="1" applyBorder="1" applyAlignment="1">
      <alignment horizontal="center" wrapText="1"/>
    </xf>
    <xf numFmtId="0" fontId="49" fillId="0" borderId="0" xfId="0" applyFont="1" applyFill="1" applyBorder="1" applyAlignment="1">
      <alignment horizontal="center"/>
    </xf>
    <xf numFmtId="0" fontId="51" fillId="0" borderId="10" xfId="1" applyFont="1" applyFill="1" applyBorder="1" applyAlignment="1">
      <alignment horizontal="center" wrapText="1"/>
    </xf>
    <xf numFmtId="2" fontId="51" fillId="0" borderId="10" xfId="1" applyNumberFormat="1" applyFont="1" applyFill="1" applyBorder="1" applyAlignment="1">
      <alignment horizontal="center" wrapText="1"/>
    </xf>
    <xf numFmtId="0" fontId="51" fillId="0" borderId="16" xfId="1" applyFont="1" applyFill="1" applyBorder="1" applyAlignment="1">
      <alignment horizontal="center" wrapText="1"/>
    </xf>
    <xf numFmtId="0" fontId="54" fillId="0" borderId="6" xfId="1" applyFont="1" applyFill="1" applyBorder="1" applyAlignment="1">
      <alignment horizontal="center" vertical="center" wrapText="1"/>
    </xf>
    <xf numFmtId="0" fontId="51" fillId="0" borderId="48" xfId="1" applyFont="1" applyFill="1" applyBorder="1" applyAlignment="1">
      <alignment horizontal="center" vertical="center" wrapText="1"/>
    </xf>
    <xf numFmtId="0" fontId="55" fillId="0" borderId="26" xfId="0" applyFont="1" applyFill="1" applyBorder="1" applyAlignment="1">
      <alignment horizontal="center" vertical="center"/>
    </xf>
    <xf numFmtId="0" fontId="56" fillId="0" borderId="19" xfId="1" applyFont="1" applyFill="1" applyBorder="1" applyAlignment="1">
      <alignment horizontal="center" vertical="center" wrapText="1"/>
    </xf>
    <xf numFmtId="0" fontId="56" fillId="0" borderId="26" xfId="1" applyFont="1" applyFill="1" applyBorder="1" applyAlignment="1">
      <alignment horizontal="center" vertical="center" wrapText="1"/>
    </xf>
    <xf numFmtId="0" fontId="56" fillId="0" borderId="49" xfId="1" applyFont="1" applyFill="1" applyBorder="1" applyAlignment="1">
      <alignment horizontal="center" vertical="center" wrapText="1"/>
    </xf>
    <xf numFmtId="0" fontId="56" fillId="0" borderId="2" xfId="1" applyFont="1" applyFill="1" applyBorder="1" applyAlignment="1">
      <alignment horizontal="center" vertical="center" wrapText="1"/>
    </xf>
    <xf numFmtId="0" fontId="53" fillId="0" borderId="50" xfId="1" applyFont="1" applyFill="1" applyBorder="1" applyAlignment="1">
      <alignment horizontal="center" vertical="center" wrapText="1"/>
    </xf>
    <xf numFmtId="0" fontId="55" fillId="0" borderId="0" xfId="0" applyFont="1" applyFill="1" applyAlignment="1">
      <alignment vertical="center"/>
    </xf>
    <xf numFmtId="0" fontId="42" fillId="0" borderId="0" xfId="0" applyFont="1" applyFill="1" applyAlignment="1">
      <alignment vertical="center"/>
    </xf>
    <xf numFmtId="0" fontId="49" fillId="0" borderId="1" xfId="0" applyFont="1" applyFill="1" applyBorder="1" applyAlignment="1">
      <alignment horizontal="center"/>
    </xf>
    <xf numFmtId="0" fontId="51" fillId="0" borderId="1" xfId="1" applyFont="1" applyFill="1" applyBorder="1" applyAlignment="1">
      <alignment horizontal="center" wrapText="1"/>
    </xf>
    <xf numFmtId="2" fontId="51" fillId="0" borderId="1" xfId="1" applyNumberFormat="1" applyFont="1" applyFill="1" applyBorder="1" applyAlignment="1">
      <alignment horizontal="center" wrapText="1"/>
    </xf>
    <xf numFmtId="0" fontId="55" fillId="0" borderId="51" xfId="0" applyFont="1" applyFill="1" applyBorder="1" applyAlignment="1">
      <alignment horizontal="center" vertical="center"/>
    </xf>
    <xf numFmtId="0" fontId="56" fillId="0" borderId="48" xfId="1" applyFont="1" applyFill="1" applyBorder="1" applyAlignment="1">
      <alignment horizontal="center" vertical="center" wrapText="1"/>
    </xf>
    <xf numFmtId="0" fontId="51" fillId="0" borderId="28" xfId="1" applyFont="1" applyFill="1" applyBorder="1" applyAlignment="1">
      <alignment horizontal="center" vertical="center" wrapText="1"/>
    </xf>
    <xf numFmtId="0" fontId="51" fillId="0" borderId="21" xfId="1" applyFont="1" applyFill="1" applyBorder="1" applyAlignment="1">
      <alignment horizontal="center" vertical="center" wrapText="1"/>
    </xf>
    <xf numFmtId="0" fontId="51" fillId="0" borderId="22" xfId="1" applyFont="1" applyFill="1" applyBorder="1" applyAlignment="1">
      <alignment horizontal="center" vertical="center" wrapText="1"/>
    </xf>
    <xf numFmtId="0" fontId="42" fillId="0" borderId="16" xfId="0" applyFont="1" applyFill="1" applyBorder="1"/>
    <xf numFmtId="0" fontId="51" fillId="0" borderId="2" xfId="1" applyFont="1" applyFill="1" applyBorder="1" applyAlignment="1">
      <alignment horizontal="center" vertical="center" wrapText="1"/>
    </xf>
    <xf numFmtId="0" fontId="55" fillId="0" borderId="2" xfId="0" applyFont="1" applyFill="1" applyBorder="1" applyAlignment="1">
      <alignment horizontal="center" vertical="center"/>
    </xf>
    <xf numFmtId="0" fontId="56" fillId="0" borderId="2" xfId="1" applyFont="1" applyFill="1" applyBorder="1" applyAlignment="1">
      <alignment horizontal="center" vertical="center" wrapText="1"/>
    </xf>
    <xf numFmtId="0" fontId="52" fillId="0" borderId="40" xfId="0" applyNumberFormat="1" applyFont="1" applyFill="1" applyBorder="1" applyAlignment="1">
      <alignment vertical="center" wrapText="1"/>
    </xf>
    <xf numFmtId="0" fontId="57" fillId="0" borderId="40" xfId="0" applyNumberFormat="1" applyFont="1" applyFill="1" applyBorder="1" applyAlignment="1">
      <alignment vertical="center" wrapText="1"/>
    </xf>
  </cellXfs>
  <cellStyles count="4">
    <cellStyle name="Normal" xfId="0" builtinId="0"/>
    <cellStyle name="Normal 2" xfId="1"/>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2:K56"/>
  <sheetViews>
    <sheetView view="pageBreakPreview" topLeftCell="A10" zoomScale="60" zoomScaleNormal="70" workbookViewId="0">
      <selection activeCell="E30" sqref="E30"/>
    </sheetView>
  </sheetViews>
  <sheetFormatPr defaultRowHeight="12.75"/>
  <cols>
    <col min="1" max="1" width="8" style="86" customWidth="1"/>
    <col min="2" max="2" width="74.140625" style="86" customWidth="1"/>
    <col min="3" max="3" width="22" style="86" customWidth="1"/>
    <col min="4" max="4" width="25" style="86" customWidth="1"/>
    <col min="5" max="5" width="27" style="86" customWidth="1"/>
    <col min="6" max="6" width="26.42578125" style="86" customWidth="1"/>
    <col min="7" max="7" width="25" style="86" customWidth="1"/>
    <col min="8" max="8" width="20.42578125" style="86" customWidth="1"/>
    <col min="9" max="9" width="22.140625" style="86" customWidth="1"/>
    <col min="10" max="16384" width="9.140625" style="86"/>
  </cols>
  <sheetData>
    <row r="2" spans="1:9" ht="33">
      <c r="I2" s="87" t="s">
        <v>69</v>
      </c>
    </row>
    <row r="5" spans="1:9" ht="37.5">
      <c r="A5" s="261" t="s">
        <v>0</v>
      </c>
      <c r="B5" s="261"/>
      <c r="C5" s="261"/>
      <c r="D5" s="261"/>
      <c r="E5" s="261"/>
      <c r="F5" s="261"/>
      <c r="G5" s="261"/>
      <c r="H5" s="261"/>
      <c r="I5" s="261"/>
    </row>
    <row r="6" spans="1:9" ht="18" customHeight="1">
      <c r="A6" s="88"/>
      <c r="B6" s="88"/>
      <c r="C6" s="88"/>
      <c r="D6" s="88"/>
      <c r="E6" s="88"/>
    </row>
    <row r="8" spans="1:9" ht="30">
      <c r="A8" s="262" t="s">
        <v>43</v>
      </c>
      <c r="B8" s="262"/>
      <c r="C8" s="262"/>
      <c r="D8" s="262"/>
      <c r="E8" s="262"/>
      <c r="F8" s="262"/>
      <c r="G8" s="262"/>
      <c r="H8" s="262"/>
      <c r="I8" s="262"/>
    </row>
    <row r="10" spans="1:9" ht="30">
      <c r="A10" s="262" t="s">
        <v>68</v>
      </c>
      <c r="B10" s="262"/>
      <c r="C10" s="262"/>
      <c r="D10" s="262"/>
      <c r="E10" s="262"/>
      <c r="F10" s="262"/>
      <c r="G10" s="262"/>
      <c r="H10" s="262"/>
      <c r="I10" s="262"/>
    </row>
    <row r="11" spans="1:9" ht="13.5" thickBot="1"/>
    <row r="12" spans="1:9" ht="21.6" customHeight="1">
      <c r="A12" s="89"/>
      <c r="B12" s="90"/>
      <c r="C12" s="90"/>
      <c r="D12" s="269" t="s">
        <v>16</v>
      </c>
      <c r="E12" s="269"/>
      <c r="F12" s="269" t="s">
        <v>67</v>
      </c>
      <c r="G12" s="269"/>
      <c r="H12" s="269" t="s">
        <v>17</v>
      </c>
      <c r="I12" s="270"/>
    </row>
    <row r="13" spans="1:9" ht="21.6" customHeight="1">
      <c r="A13" s="91"/>
      <c r="B13" s="50"/>
      <c r="C13" s="50"/>
      <c r="D13" s="50" t="s">
        <v>14</v>
      </c>
      <c r="E13" s="50" t="s">
        <v>15</v>
      </c>
      <c r="F13" s="50" t="s">
        <v>14</v>
      </c>
      <c r="G13" s="50" t="s">
        <v>15</v>
      </c>
      <c r="H13" s="268" t="s">
        <v>14</v>
      </c>
      <c r="I13" s="263" t="s">
        <v>15</v>
      </c>
    </row>
    <row r="14" spans="1:9" ht="26.25" customHeight="1">
      <c r="A14" s="91"/>
      <c r="B14" s="50"/>
      <c r="C14" s="50"/>
      <c r="D14" s="268" t="s">
        <v>236</v>
      </c>
      <c r="E14" s="268"/>
      <c r="F14" s="268" t="s">
        <v>235</v>
      </c>
      <c r="G14" s="268"/>
      <c r="H14" s="268"/>
      <c r="I14" s="263"/>
    </row>
    <row r="15" spans="1:9" ht="24" customHeight="1">
      <c r="A15" s="91"/>
      <c r="B15" s="50"/>
      <c r="C15" s="50"/>
      <c r="D15" s="266"/>
      <c r="E15" s="267"/>
      <c r="F15" s="264"/>
      <c r="G15" s="265"/>
      <c r="H15" s="179"/>
      <c r="I15" s="168"/>
    </row>
    <row r="16" spans="1:9" ht="21.6" customHeight="1">
      <c r="A16" s="91" t="s">
        <v>64</v>
      </c>
      <c r="B16" s="93" t="s">
        <v>48</v>
      </c>
      <c r="C16" s="50"/>
      <c r="D16" s="166"/>
      <c r="E16" s="166"/>
      <c r="F16" s="156"/>
      <c r="G16" s="156"/>
      <c r="H16" s="179"/>
      <c r="I16" s="168"/>
    </row>
    <row r="17" spans="1:11" ht="21.6" customHeight="1">
      <c r="A17" s="91">
        <v>1</v>
      </c>
      <c r="B17" s="93" t="s">
        <v>123</v>
      </c>
      <c r="C17" s="50" t="s">
        <v>62</v>
      </c>
      <c r="D17" s="249">
        <f>+E17-3572.615</f>
        <v>2741.5150000000003</v>
      </c>
      <c r="E17" s="249">
        <v>6314.13</v>
      </c>
      <c r="F17" s="249">
        <f>+G17-3342.9</f>
        <v>2862.3619999999996</v>
      </c>
      <c r="G17" s="249">
        <v>6205.2619999999997</v>
      </c>
      <c r="H17" s="247">
        <f>(D17-F17)/F17</f>
        <v>-4.2219327953626873E-2</v>
      </c>
      <c r="I17" s="253">
        <f>(E17-G17)/G17</f>
        <v>1.7544464681749198E-2</v>
      </c>
    </row>
    <row r="18" spans="1:11" ht="21.6" customHeight="1">
      <c r="A18" s="91">
        <v>2</v>
      </c>
      <c r="B18" s="93" t="s">
        <v>111</v>
      </c>
      <c r="C18" s="50" t="s">
        <v>62</v>
      </c>
      <c r="D18" s="250"/>
      <c r="E18" s="250"/>
      <c r="F18" s="250"/>
      <c r="G18" s="250"/>
      <c r="H18" s="252"/>
      <c r="I18" s="257"/>
      <c r="J18" s="221"/>
      <c r="K18" s="222"/>
    </row>
    <row r="19" spans="1:11" ht="21.6" customHeight="1">
      <c r="A19" s="91">
        <v>3</v>
      </c>
      <c r="B19" s="93" t="s">
        <v>113</v>
      </c>
      <c r="C19" s="50" t="s">
        <v>62</v>
      </c>
      <c r="D19" s="251"/>
      <c r="E19" s="251"/>
      <c r="F19" s="251"/>
      <c r="G19" s="251"/>
      <c r="H19" s="248"/>
      <c r="I19" s="254"/>
    </row>
    <row r="20" spans="1:11" ht="21.6" customHeight="1">
      <c r="A20" s="91"/>
      <c r="B20" s="93" t="s">
        <v>114</v>
      </c>
      <c r="C20" s="50" t="s">
        <v>62</v>
      </c>
      <c r="D20" s="20"/>
      <c r="E20" s="20"/>
      <c r="F20" s="210"/>
      <c r="G20" s="210"/>
      <c r="H20" s="180"/>
      <c r="I20" s="181"/>
    </row>
    <row r="21" spans="1:11" ht="21.6" customHeight="1">
      <c r="A21" s="91"/>
      <c r="B21" s="93" t="s">
        <v>115</v>
      </c>
      <c r="C21" s="50" t="s">
        <v>62</v>
      </c>
      <c r="D21" s="20"/>
      <c r="E21" s="20"/>
      <c r="F21" s="210"/>
      <c r="G21" s="210"/>
      <c r="H21" s="180"/>
      <c r="I21" s="181"/>
    </row>
    <row r="22" spans="1:11" ht="21.6" customHeight="1">
      <c r="A22" s="91"/>
      <c r="B22" s="93" t="s">
        <v>49</v>
      </c>
      <c r="C22" s="50" t="s">
        <v>62</v>
      </c>
      <c r="D22" s="176">
        <f>+D17+D20+D21</f>
        <v>2741.5150000000003</v>
      </c>
      <c r="E22" s="176">
        <f>+E17+E20+E21</f>
        <v>6314.13</v>
      </c>
      <c r="F22" s="210">
        <f>+F17+F20+F21</f>
        <v>2862.3619999999996</v>
      </c>
      <c r="G22" s="210">
        <f>+G17+G20+G21</f>
        <v>6205.2619999999997</v>
      </c>
      <c r="H22" s="178">
        <f>(D22-F22)/F22</f>
        <v>-4.2219327953626873E-2</v>
      </c>
      <c r="I22" s="182">
        <f>(E22-G22)/G22</f>
        <v>1.7544464681749198E-2</v>
      </c>
    </row>
    <row r="23" spans="1:11" ht="21.6" customHeight="1">
      <c r="A23" s="91"/>
      <c r="B23" s="93"/>
      <c r="C23" s="50"/>
      <c r="D23" s="20"/>
      <c r="E23" s="20"/>
      <c r="F23" s="210"/>
      <c r="G23" s="210"/>
      <c r="H23" s="180"/>
      <c r="I23" s="181"/>
    </row>
    <row r="24" spans="1:11" ht="21.6" customHeight="1">
      <c r="A24" s="91" t="s">
        <v>65</v>
      </c>
      <c r="B24" s="93" t="s">
        <v>50</v>
      </c>
      <c r="C24" s="50"/>
      <c r="D24" s="20"/>
      <c r="E24" s="20"/>
      <c r="F24" s="210"/>
      <c r="G24" s="210"/>
      <c r="H24" s="180"/>
      <c r="I24" s="181"/>
    </row>
    <row r="25" spans="1:11" ht="21.6" customHeight="1">
      <c r="A25" s="91">
        <v>1</v>
      </c>
      <c r="B25" s="93" t="s">
        <v>51</v>
      </c>
      <c r="C25" s="50" t="s">
        <v>62</v>
      </c>
      <c r="D25" s="176">
        <f>+D17</f>
        <v>2741.5150000000003</v>
      </c>
      <c r="E25" s="176">
        <f>+E22</f>
        <v>6314.13</v>
      </c>
      <c r="F25" s="210">
        <f>+F17</f>
        <v>2862.3619999999996</v>
      </c>
      <c r="G25" s="210">
        <f>+G17</f>
        <v>6205.2619999999997</v>
      </c>
      <c r="H25" s="178">
        <f t="shared" ref="H25:I37" si="0">(D25-F25)/F25</f>
        <v>-4.2219327953626873E-2</v>
      </c>
      <c r="I25" s="182">
        <f t="shared" si="0"/>
        <v>1.7544464681749198E-2</v>
      </c>
    </row>
    <row r="26" spans="1:11" ht="21.6" customHeight="1">
      <c r="A26" s="91">
        <v>2</v>
      </c>
      <c r="B26" s="93" t="s">
        <v>52</v>
      </c>
      <c r="C26" s="50" t="s">
        <v>62</v>
      </c>
      <c r="D26" s="176">
        <f>+D25</f>
        <v>2741.5150000000003</v>
      </c>
      <c r="E26" s="176">
        <f>+E25</f>
        <v>6314.13</v>
      </c>
      <c r="F26" s="210">
        <f>+F25</f>
        <v>2862.3619999999996</v>
      </c>
      <c r="G26" s="210">
        <f>+G25</f>
        <v>6205.2619999999997</v>
      </c>
      <c r="H26" s="178">
        <f t="shared" si="0"/>
        <v>-4.2219327953626873E-2</v>
      </c>
      <c r="I26" s="182">
        <f t="shared" si="0"/>
        <v>1.7544464681749198E-2</v>
      </c>
    </row>
    <row r="27" spans="1:11" ht="21.6" customHeight="1">
      <c r="A27" s="91">
        <v>3</v>
      </c>
      <c r="B27" s="93" t="s">
        <v>112</v>
      </c>
      <c r="C27" s="50" t="s">
        <v>62</v>
      </c>
      <c r="D27" s="176">
        <f>+E27-2911.87</f>
        <v>2461.9324241903232</v>
      </c>
      <c r="E27" s="176">
        <v>5373.8024241903231</v>
      </c>
      <c r="F27" s="210">
        <f>+G27-2833.65</f>
        <v>2403.5570000000002</v>
      </c>
      <c r="G27" s="210">
        <v>5237.2070000000003</v>
      </c>
      <c r="H27" s="178">
        <f t="shared" si="0"/>
        <v>2.4287097909607706E-2</v>
      </c>
      <c r="I27" s="182">
        <f t="shared" si="0"/>
        <v>2.6081731004774636E-2</v>
      </c>
    </row>
    <row r="28" spans="1:11" ht="21.6" customHeight="1">
      <c r="A28" s="91">
        <v>4</v>
      </c>
      <c r="B28" s="93" t="s">
        <v>116</v>
      </c>
      <c r="C28" s="50" t="s">
        <v>62</v>
      </c>
      <c r="D28" s="176">
        <f>+D26-D27</f>
        <v>279.58257580967711</v>
      </c>
      <c r="E28" s="176">
        <f>+E26-E27</f>
        <v>940.327575809677</v>
      </c>
      <c r="F28" s="210">
        <f>+F26-F27</f>
        <v>458.80499999999938</v>
      </c>
      <c r="G28" s="210">
        <f>+G26-G27</f>
        <v>968.05499999999938</v>
      </c>
      <c r="H28" s="178">
        <f t="shared" si="0"/>
        <v>-0.39062875119129592</v>
      </c>
      <c r="I28" s="178">
        <f t="shared" si="0"/>
        <v>-2.8642405845042275E-2</v>
      </c>
    </row>
    <row r="29" spans="1:11" ht="21.6" customHeight="1">
      <c r="A29" s="91">
        <v>5</v>
      </c>
      <c r="B29" s="93" t="s">
        <v>53</v>
      </c>
      <c r="C29" s="50" t="s">
        <v>35</v>
      </c>
      <c r="D29" s="177">
        <f>+(D28/D26)</f>
        <v>0.10198104909499933</v>
      </c>
      <c r="E29" s="177">
        <f>+(E28/E26)</f>
        <v>0.14892432937074102</v>
      </c>
      <c r="F29" s="204">
        <f t="shared" ref="F29:G29" si="1">F28/F26*100%</f>
        <v>0.16028895017471564</v>
      </c>
      <c r="G29" s="204">
        <f t="shared" si="1"/>
        <v>0.15600549984835441</v>
      </c>
      <c r="H29" s="178">
        <f>D29-F29</f>
        <v>-5.8307901079716312E-2</v>
      </c>
      <c r="I29" s="178">
        <f>E29-G29</f>
        <v>-7.081170477613391E-3</v>
      </c>
    </row>
    <row r="30" spans="1:11" ht="21.6" customHeight="1">
      <c r="A30" s="91"/>
      <c r="B30" s="93"/>
      <c r="C30" s="50"/>
      <c r="D30" s="20"/>
      <c r="E30" s="20"/>
      <c r="F30" s="210"/>
      <c r="G30" s="210"/>
      <c r="H30" s="178"/>
      <c r="I30" s="182"/>
    </row>
    <row r="31" spans="1:11" ht="21.6" customHeight="1">
      <c r="A31" s="91" t="s">
        <v>66</v>
      </c>
      <c r="B31" s="93" t="s">
        <v>54</v>
      </c>
      <c r="C31" s="50"/>
      <c r="D31" s="20"/>
      <c r="E31" s="20"/>
      <c r="F31" s="210"/>
      <c r="G31" s="210"/>
      <c r="H31" s="178"/>
      <c r="I31" s="182"/>
    </row>
    <row r="32" spans="1:11" ht="21.6" customHeight="1">
      <c r="A32" s="91">
        <v>1</v>
      </c>
      <c r="B32" s="93" t="s">
        <v>55</v>
      </c>
      <c r="C32" s="259" t="s">
        <v>63</v>
      </c>
      <c r="D32" s="249">
        <f>+E32-1984.52</f>
        <v>1886.8156591755001</v>
      </c>
      <c r="E32" s="249">
        <f>+'SHEET-5'!E25+63.46+67.51+76.43+82.27+82.43+77.06</f>
        <v>3871.3356591755</v>
      </c>
      <c r="F32" s="249">
        <f>+G32-1820.15</f>
        <v>1667.2899999999995</v>
      </c>
      <c r="G32" s="249">
        <f>+'SHEET-5'!G25+60.62+67.9+73.5+69.46+67.27+63.45</f>
        <v>3487.4399999999996</v>
      </c>
      <c r="H32" s="247">
        <f t="shared" si="0"/>
        <v>0.13166615236431611</v>
      </c>
      <c r="I32" s="253">
        <f t="shared" si="0"/>
        <v>0.11007950220663308</v>
      </c>
    </row>
    <row r="33" spans="1:9" ht="21.6" customHeight="1">
      <c r="A33" s="91">
        <v>2</v>
      </c>
      <c r="B33" s="93" t="s">
        <v>56</v>
      </c>
      <c r="C33" s="260"/>
      <c r="D33" s="251"/>
      <c r="E33" s="251"/>
      <c r="F33" s="251"/>
      <c r="G33" s="251"/>
      <c r="H33" s="248"/>
      <c r="I33" s="254"/>
    </row>
    <row r="34" spans="1:9" ht="21.6" customHeight="1">
      <c r="A34" s="91">
        <v>3</v>
      </c>
      <c r="B34" s="93" t="s">
        <v>57</v>
      </c>
      <c r="C34" s="50" t="s">
        <v>63</v>
      </c>
      <c r="D34" s="176">
        <f>+D32</f>
        <v>1886.8156591755001</v>
      </c>
      <c r="E34" s="176">
        <f>+E32</f>
        <v>3871.3356591755</v>
      </c>
      <c r="F34" s="210">
        <f>+F32</f>
        <v>1667.2899999999995</v>
      </c>
      <c r="G34" s="210">
        <f>+G32</f>
        <v>3487.4399999999996</v>
      </c>
      <c r="H34" s="178">
        <f t="shared" si="0"/>
        <v>0.13166615236431611</v>
      </c>
      <c r="I34" s="182">
        <f t="shared" si="0"/>
        <v>0.11007950220663308</v>
      </c>
    </row>
    <row r="35" spans="1:9" ht="21.6" customHeight="1">
      <c r="A35" s="91">
        <v>4</v>
      </c>
      <c r="B35" s="93" t="s">
        <v>58</v>
      </c>
      <c r="C35" s="259" t="s">
        <v>63</v>
      </c>
      <c r="D35" s="255">
        <f>+E35-1913.2</f>
        <v>1833.9199999999998</v>
      </c>
      <c r="E35" s="255">
        <v>3747.12</v>
      </c>
      <c r="F35" s="255">
        <f>+G35-1770.82</f>
        <v>1578.9600000000003</v>
      </c>
      <c r="G35" s="255">
        <v>3349.78</v>
      </c>
      <c r="H35" s="247">
        <f t="shared" si="0"/>
        <v>0.16147337487966734</v>
      </c>
      <c r="I35" s="253">
        <f t="shared" si="0"/>
        <v>0.11861674498026727</v>
      </c>
    </row>
    <row r="36" spans="1:9" ht="21.6" customHeight="1">
      <c r="A36" s="91">
        <v>5</v>
      </c>
      <c r="B36" s="93" t="s">
        <v>59</v>
      </c>
      <c r="C36" s="260"/>
      <c r="D36" s="256"/>
      <c r="E36" s="256"/>
      <c r="F36" s="256"/>
      <c r="G36" s="256"/>
      <c r="H36" s="248"/>
      <c r="I36" s="254"/>
    </row>
    <row r="37" spans="1:9" ht="21.6" customHeight="1">
      <c r="A37" s="91">
        <v>6</v>
      </c>
      <c r="B37" s="93" t="s">
        <v>60</v>
      </c>
      <c r="C37" s="50" t="s">
        <v>63</v>
      </c>
      <c r="D37" s="213">
        <f>+D35</f>
        <v>1833.9199999999998</v>
      </c>
      <c r="E37" s="213">
        <f>+E35</f>
        <v>3747.12</v>
      </c>
      <c r="F37" s="210">
        <f>+F35</f>
        <v>1578.9600000000003</v>
      </c>
      <c r="G37" s="210">
        <f>+G35</f>
        <v>3349.78</v>
      </c>
      <c r="H37" s="178">
        <f t="shared" si="0"/>
        <v>0.16147337487966734</v>
      </c>
      <c r="I37" s="182">
        <f t="shared" si="0"/>
        <v>0.11861674498026727</v>
      </c>
    </row>
    <row r="38" spans="1:9" ht="21.6" customHeight="1">
      <c r="A38" s="91">
        <v>7</v>
      </c>
      <c r="B38" s="93" t="s">
        <v>61</v>
      </c>
      <c r="C38" s="50" t="s">
        <v>35</v>
      </c>
      <c r="D38" s="214">
        <f>+D37/D34</f>
        <v>0.97196564544168851</v>
      </c>
      <c r="E38" s="214">
        <f>+E37/E34</f>
        <v>0.96791400433566255</v>
      </c>
      <c r="F38" s="204">
        <f t="shared" ref="F38:G38" si="2">F37/F34</f>
        <v>0.94702181384162365</v>
      </c>
      <c r="G38" s="204">
        <f t="shared" si="2"/>
        <v>0.96052691945954638</v>
      </c>
      <c r="H38" s="178">
        <f>D38-F38</f>
        <v>2.4943831600064859E-2</v>
      </c>
      <c r="I38" s="178">
        <f>E38-G38</f>
        <v>7.3870848761161678E-3</v>
      </c>
    </row>
    <row r="39" spans="1:9" ht="21.6" customHeight="1" thickBot="1">
      <c r="A39" s="95"/>
      <c r="B39" s="96"/>
      <c r="C39" s="21"/>
      <c r="D39" s="167"/>
      <c r="E39" s="167"/>
      <c r="F39" s="21"/>
      <c r="G39" s="21"/>
      <c r="H39" s="167"/>
      <c r="I39" s="169"/>
    </row>
    <row r="40" spans="1:9" ht="18">
      <c r="F40" s="97"/>
      <c r="G40" s="97"/>
      <c r="H40" s="5"/>
      <c r="I40" s="5"/>
    </row>
    <row r="42" spans="1:9">
      <c r="E42" s="215"/>
    </row>
    <row r="43" spans="1:9" ht="41.25" customHeight="1">
      <c r="A43" s="258"/>
      <c r="B43" s="258"/>
      <c r="E43" s="25"/>
    </row>
    <row r="47" spans="1:9" ht="18">
      <c r="D47" s="196"/>
      <c r="E47" s="196"/>
      <c r="F47" s="232"/>
    </row>
    <row r="48" spans="1:9" ht="20.25">
      <c r="D48" s="86">
        <f>629.78+684.15+754.8+772.65+783.17+735.21</f>
        <v>4359.76</v>
      </c>
      <c r="E48" s="86">
        <f>574.13+690.79+735.9+780.03+724.2+714.82</f>
        <v>4219.87</v>
      </c>
      <c r="F48" s="233">
        <f>+E48/D48</f>
        <v>0.96791337137824096</v>
      </c>
    </row>
    <row r="56" spans="4:4">
      <c r="D56" s="98"/>
    </row>
  </sheetData>
  <mergeCells count="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 ref="A43:B43"/>
    <mergeCell ref="D32:D33"/>
    <mergeCell ref="E32:E33"/>
    <mergeCell ref="F32:F33"/>
    <mergeCell ref="E35:E36"/>
    <mergeCell ref="D35:D36"/>
    <mergeCell ref="F35:F36"/>
    <mergeCell ref="C35:C36"/>
    <mergeCell ref="C32:C33"/>
    <mergeCell ref="H35:H36"/>
    <mergeCell ref="F17:F19"/>
    <mergeCell ref="G17:G19"/>
    <mergeCell ref="H17:H19"/>
    <mergeCell ref="I35:I36"/>
    <mergeCell ref="G35:G36"/>
    <mergeCell ref="I32:I33"/>
    <mergeCell ref="G32:G33"/>
    <mergeCell ref="I17:I19"/>
    <mergeCell ref="H32:H33"/>
  </mergeCells>
  <phoneticPr fontId="1"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B1:M32"/>
  <sheetViews>
    <sheetView tabSelected="1" view="pageBreakPreview" zoomScale="60" workbookViewId="0">
      <selection activeCell="S5" sqref="S5"/>
    </sheetView>
  </sheetViews>
  <sheetFormatPr defaultRowHeight="15"/>
  <cols>
    <col min="1" max="1" width="1.5703125" style="361" customWidth="1"/>
    <col min="2" max="2" width="4.85546875" style="361" customWidth="1"/>
    <col min="3" max="3" width="9.140625" style="361" customWidth="1"/>
    <col min="4" max="4" width="12.28515625" style="361" customWidth="1"/>
    <col min="5" max="5" width="9.140625" style="361" customWidth="1"/>
    <col min="6" max="6" width="14.7109375" style="361" customWidth="1"/>
    <col min="7" max="7" width="9.140625" style="361" customWidth="1"/>
    <col min="8" max="8" width="2" style="361" customWidth="1"/>
    <col min="9" max="9" width="9.140625" style="361"/>
    <col min="10" max="10" width="14.7109375" style="361" customWidth="1"/>
    <col min="11" max="11" width="9.140625" style="361"/>
    <col min="12" max="12" width="14.5703125" style="361" customWidth="1"/>
    <col min="13" max="13" width="16.42578125" style="361" customWidth="1"/>
    <col min="14" max="16384" width="9.140625" style="361"/>
  </cols>
  <sheetData>
    <row r="1" spans="2:13" ht="24.75" customHeight="1" thickBot="1">
      <c r="B1" s="358" t="s">
        <v>259</v>
      </c>
      <c r="C1" s="359"/>
      <c r="D1" s="359"/>
      <c r="E1" s="359"/>
      <c r="F1" s="359"/>
      <c r="G1" s="359"/>
      <c r="H1" s="359"/>
      <c r="I1" s="359"/>
      <c r="J1" s="359"/>
      <c r="K1" s="359"/>
      <c r="L1" s="359"/>
      <c r="M1" s="360"/>
    </row>
    <row r="2" spans="2:13" ht="5.25" customHeight="1">
      <c r="B2" s="362"/>
      <c r="C2" s="363"/>
      <c r="D2" s="363"/>
      <c r="E2" s="363"/>
      <c r="F2" s="363"/>
      <c r="G2" s="363"/>
      <c r="H2" s="363"/>
      <c r="I2" s="363"/>
      <c r="J2" s="363"/>
      <c r="K2" s="363"/>
      <c r="L2" s="363"/>
      <c r="M2" s="364"/>
    </row>
    <row r="3" spans="2:13" ht="21.75" customHeight="1" thickBot="1">
      <c r="B3" s="365" t="s">
        <v>260</v>
      </c>
      <c r="C3" s="366"/>
      <c r="D3" s="366"/>
      <c r="E3" s="366"/>
      <c r="F3" s="366"/>
      <c r="G3" s="366"/>
      <c r="H3" s="366"/>
      <c r="I3" s="366"/>
      <c r="J3" s="366"/>
      <c r="K3" s="366"/>
      <c r="L3" s="366"/>
      <c r="M3" s="367"/>
    </row>
    <row r="4" spans="2:13" ht="27.75" customHeight="1">
      <c r="B4" s="368" t="s">
        <v>261</v>
      </c>
      <c r="C4" s="369" t="s">
        <v>200</v>
      </c>
      <c r="D4" s="369" t="s">
        <v>262</v>
      </c>
      <c r="E4" s="369" t="s">
        <v>263</v>
      </c>
      <c r="F4" s="369"/>
      <c r="G4" s="369"/>
      <c r="H4" s="370"/>
      <c r="I4" s="369" t="s">
        <v>264</v>
      </c>
      <c r="J4" s="369"/>
      <c r="K4" s="369"/>
      <c r="L4" s="369" t="s">
        <v>265</v>
      </c>
      <c r="M4" s="371" t="s">
        <v>266</v>
      </c>
    </row>
    <row r="5" spans="2:13" ht="68.25" customHeight="1">
      <c r="B5" s="372"/>
      <c r="C5" s="373"/>
      <c r="D5" s="373"/>
      <c r="E5" s="374" t="s">
        <v>267</v>
      </c>
      <c r="F5" s="374" t="s">
        <v>268</v>
      </c>
      <c r="G5" s="374" t="s">
        <v>269</v>
      </c>
      <c r="H5" s="375"/>
      <c r="I5" s="374" t="s">
        <v>267</v>
      </c>
      <c r="J5" s="374" t="s">
        <v>270</v>
      </c>
      <c r="K5" s="374" t="s">
        <v>269</v>
      </c>
      <c r="L5" s="373"/>
      <c r="M5" s="376"/>
    </row>
    <row r="6" spans="2:13">
      <c r="B6" s="377">
        <v>1</v>
      </c>
      <c r="C6" s="378" t="s">
        <v>271</v>
      </c>
      <c r="D6" s="379" t="s">
        <v>272</v>
      </c>
      <c r="E6" s="380">
        <v>32</v>
      </c>
      <c r="F6" s="379" t="s">
        <v>273</v>
      </c>
      <c r="G6" s="381">
        <v>1.46</v>
      </c>
      <c r="H6" s="382"/>
      <c r="I6" s="380">
        <v>29</v>
      </c>
      <c r="J6" s="379">
        <v>0</v>
      </c>
      <c r="K6" s="381">
        <v>1.1304108185030939</v>
      </c>
      <c r="L6" s="379">
        <v>0</v>
      </c>
      <c r="M6" s="383"/>
    </row>
    <row r="7" spans="2:13" ht="15.75" customHeight="1">
      <c r="B7" s="377">
        <v>2</v>
      </c>
      <c r="C7" s="384"/>
      <c r="D7" s="379" t="s">
        <v>274</v>
      </c>
      <c r="E7" s="380">
        <v>16</v>
      </c>
      <c r="F7" s="379">
        <v>0</v>
      </c>
      <c r="G7" s="381">
        <v>2.59</v>
      </c>
      <c r="H7" s="382"/>
      <c r="I7" s="380">
        <v>16</v>
      </c>
      <c r="J7" s="379">
        <v>0</v>
      </c>
      <c r="K7" s="381">
        <v>2.0410754773281079</v>
      </c>
      <c r="L7" s="379">
        <v>0</v>
      </c>
      <c r="M7" s="385"/>
    </row>
    <row r="8" spans="2:13" ht="15.75" customHeight="1">
      <c r="B8" s="377">
        <v>3</v>
      </c>
      <c r="C8" s="384"/>
      <c r="D8" s="379" t="s">
        <v>275</v>
      </c>
      <c r="E8" s="380">
        <v>17</v>
      </c>
      <c r="F8" s="379">
        <v>0</v>
      </c>
      <c r="G8" s="381">
        <v>2.69</v>
      </c>
      <c r="H8" s="382"/>
      <c r="I8" s="380">
        <v>17</v>
      </c>
      <c r="J8" s="379">
        <v>0</v>
      </c>
      <c r="K8" s="381">
        <v>1.1850414084938816</v>
      </c>
      <c r="L8" s="379">
        <v>0</v>
      </c>
      <c r="M8" s="385"/>
    </row>
    <row r="9" spans="2:13" ht="15.75" customHeight="1">
      <c r="B9" s="377">
        <v>4</v>
      </c>
      <c r="C9" s="384"/>
      <c r="D9" s="379" t="s">
        <v>276</v>
      </c>
      <c r="E9" s="380">
        <v>1</v>
      </c>
      <c r="F9" s="379">
        <v>0</v>
      </c>
      <c r="G9" s="381">
        <v>2.42</v>
      </c>
      <c r="H9" s="386"/>
      <c r="I9" s="380">
        <v>1</v>
      </c>
      <c r="J9" s="379">
        <v>0</v>
      </c>
      <c r="K9" s="381">
        <v>2.4644293497322693</v>
      </c>
      <c r="L9" s="379">
        <v>0</v>
      </c>
      <c r="M9" s="385"/>
    </row>
    <row r="10" spans="2:13" ht="15.75" customHeight="1">
      <c r="B10" s="377">
        <v>5</v>
      </c>
      <c r="C10" s="384"/>
      <c r="D10" s="379" t="s">
        <v>277</v>
      </c>
      <c r="E10" s="380">
        <v>16</v>
      </c>
      <c r="F10" s="379">
        <v>0</v>
      </c>
      <c r="G10" s="381">
        <v>-5.33</v>
      </c>
      <c r="H10" s="386"/>
      <c r="I10" s="380">
        <v>16</v>
      </c>
      <c r="J10" s="379">
        <v>1</v>
      </c>
      <c r="K10" s="381">
        <v>1.7111483469773325</v>
      </c>
      <c r="L10" s="379">
        <v>0</v>
      </c>
      <c r="M10" s="385"/>
    </row>
    <row r="11" spans="2:13" ht="15.75" customHeight="1">
      <c r="B11" s="387">
        <v>6</v>
      </c>
      <c r="C11" s="384"/>
      <c r="D11" s="388" t="s">
        <v>250</v>
      </c>
      <c r="E11" s="389">
        <f t="shared" ref="E11" si="0">SUM(E6:E10)</f>
        <v>82</v>
      </c>
      <c r="F11" s="389" t="s">
        <v>273</v>
      </c>
      <c r="G11" s="390">
        <v>0.48</v>
      </c>
      <c r="H11" s="391"/>
      <c r="I11" s="389">
        <f>SUM(I6:I10)</f>
        <v>79</v>
      </c>
      <c r="J11" s="389">
        <f>SUM(J6:J10)</f>
        <v>1</v>
      </c>
      <c r="K11" s="390">
        <v>1.4286255294798282</v>
      </c>
      <c r="L11" s="389">
        <f>SUM(L6:L10)</f>
        <v>0</v>
      </c>
      <c r="M11" s="385"/>
    </row>
    <row r="12" spans="2:13" s="400" customFormat="1" ht="12.75" customHeight="1" thickBot="1">
      <c r="B12" s="392"/>
      <c r="C12" s="393"/>
      <c r="D12" s="394"/>
      <c r="E12" s="395" t="s">
        <v>278</v>
      </c>
      <c r="F12" s="396"/>
      <c r="G12" s="397"/>
      <c r="H12" s="398"/>
      <c r="I12" s="395"/>
      <c r="J12" s="396"/>
      <c r="K12" s="397"/>
      <c r="L12" s="398"/>
      <c r="M12" s="399"/>
    </row>
    <row r="13" spans="2:13" s="401" customFormat="1" ht="27.75" customHeight="1">
      <c r="B13" s="368" t="s">
        <v>261</v>
      </c>
      <c r="C13" s="369" t="s">
        <v>200</v>
      </c>
      <c r="D13" s="369" t="s">
        <v>262</v>
      </c>
      <c r="E13" s="369" t="str">
        <f>E4</f>
        <v>Q2- April to Sept-19</v>
      </c>
      <c r="F13" s="369"/>
      <c r="G13" s="369"/>
      <c r="H13" s="370"/>
      <c r="I13" s="369" t="str">
        <f>I4</f>
        <v>Q2- April to Sept-18</v>
      </c>
      <c r="J13" s="369"/>
      <c r="K13" s="369"/>
      <c r="L13" s="369" t="s">
        <v>279</v>
      </c>
      <c r="M13" s="371" t="s">
        <v>266</v>
      </c>
    </row>
    <row r="14" spans="2:13" ht="79.5" customHeight="1">
      <c r="B14" s="372"/>
      <c r="C14" s="373"/>
      <c r="D14" s="373"/>
      <c r="E14" s="374" t="s">
        <v>267</v>
      </c>
      <c r="F14" s="374" t="s">
        <v>280</v>
      </c>
      <c r="G14" s="374" t="s">
        <v>269</v>
      </c>
      <c r="H14" s="375"/>
      <c r="I14" s="374" t="s">
        <v>267</v>
      </c>
      <c r="J14" s="374" t="s">
        <v>281</v>
      </c>
      <c r="K14" s="374" t="s">
        <v>269</v>
      </c>
      <c r="L14" s="373"/>
      <c r="M14" s="376"/>
    </row>
    <row r="15" spans="2:13" ht="15" customHeight="1">
      <c r="B15" s="377">
        <v>1</v>
      </c>
      <c r="C15" s="378" t="s">
        <v>282</v>
      </c>
      <c r="D15" s="379" t="s">
        <v>272</v>
      </c>
      <c r="E15" s="380">
        <v>19</v>
      </c>
      <c r="F15" s="379">
        <v>0</v>
      </c>
      <c r="G15" s="381">
        <v>9.6199999999999992</v>
      </c>
      <c r="H15" s="382"/>
      <c r="I15" s="380">
        <v>19</v>
      </c>
      <c r="J15" s="379">
        <v>0</v>
      </c>
      <c r="K15" s="381">
        <v>8.4867515542770775</v>
      </c>
      <c r="L15" s="379">
        <v>0</v>
      </c>
      <c r="M15" s="383" t="s">
        <v>283</v>
      </c>
    </row>
    <row r="16" spans="2:13">
      <c r="B16" s="377">
        <v>2</v>
      </c>
      <c r="C16" s="384"/>
      <c r="D16" s="379" t="s">
        <v>274</v>
      </c>
      <c r="E16" s="380">
        <v>250</v>
      </c>
      <c r="F16" s="379">
        <v>0</v>
      </c>
      <c r="G16" s="381">
        <v>6.73</v>
      </c>
      <c r="H16" s="382"/>
      <c r="I16" s="380">
        <v>243</v>
      </c>
      <c r="J16" s="379">
        <v>0</v>
      </c>
      <c r="K16" s="381">
        <v>5.6381118733918303</v>
      </c>
      <c r="L16" s="379">
        <v>0</v>
      </c>
      <c r="M16" s="385"/>
    </row>
    <row r="17" spans="2:13">
      <c r="B17" s="377">
        <v>3</v>
      </c>
      <c r="C17" s="384"/>
      <c r="D17" s="379" t="s">
        <v>275</v>
      </c>
      <c r="E17" s="380">
        <v>49</v>
      </c>
      <c r="F17" s="379">
        <v>0</v>
      </c>
      <c r="G17" s="381">
        <v>7.97</v>
      </c>
      <c r="H17" s="382"/>
      <c r="I17" s="380">
        <v>43</v>
      </c>
      <c r="J17" s="379">
        <v>2</v>
      </c>
      <c r="K17" s="381">
        <v>8.3611235130862465</v>
      </c>
      <c r="L17" s="379">
        <v>0</v>
      </c>
      <c r="M17" s="385"/>
    </row>
    <row r="18" spans="2:13">
      <c r="B18" s="377">
        <v>4</v>
      </c>
      <c r="C18" s="384"/>
      <c r="D18" s="379" t="s">
        <v>276</v>
      </c>
      <c r="E18" s="380">
        <v>35</v>
      </c>
      <c r="F18" s="379">
        <v>0</v>
      </c>
      <c r="G18" s="381">
        <v>8.09</v>
      </c>
      <c r="H18" s="382"/>
      <c r="I18" s="380">
        <v>35</v>
      </c>
      <c r="J18" s="379">
        <v>0</v>
      </c>
      <c r="K18" s="381">
        <v>8.2441157974834898</v>
      </c>
      <c r="L18" s="379">
        <v>0</v>
      </c>
      <c r="M18" s="385"/>
    </row>
    <row r="19" spans="2:13">
      <c r="B19" s="377">
        <v>5</v>
      </c>
      <c r="C19" s="384"/>
      <c r="D19" s="379" t="s">
        <v>277</v>
      </c>
      <c r="E19" s="380">
        <v>44</v>
      </c>
      <c r="F19" s="379" t="s">
        <v>284</v>
      </c>
      <c r="G19" s="381">
        <v>21.39</v>
      </c>
      <c r="H19" s="382"/>
      <c r="I19" s="380">
        <v>42</v>
      </c>
      <c r="J19" s="379">
        <v>6</v>
      </c>
      <c r="K19" s="381">
        <v>20.335929888181578</v>
      </c>
      <c r="L19" s="379">
        <v>3</v>
      </c>
      <c r="M19" s="385"/>
    </row>
    <row r="20" spans="2:13">
      <c r="B20" s="377">
        <v>6</v>
      </c>
      <c r="C20" s="384"/>
      <c r="D20" s="402" t="s">
        <v>250</v>
      </c>
      <c r="E20" s="403">
        <f t="shared" ref="E20" si="1">SUM(E15:E19)</f>
        <v>397</v>
      </c>
      <c r="F20" s="403" t="s">
        <v>284</v>
      </c>
      <c r="G20" s="404">
        <v>9.0299999999999994</v>
      </c>
      <c r="H20" s="391"/>
      <c r="I20" s="403">
        <f t="shared" ref="I20:J20" si="2">SUM(I15:I19)</f>
        <v>382</v>
      </c>
      <c r="J20" s="403">
        <f t="shared" si="2"/>
        <v>8</v>
      </c>
      <c r="K20" s="404">
        <v>8.2561735410952082</v>
      </c>
      <c r="L20" s="403">
        <f>SUM(L15:L19)</f>
        <v>3</v>
      </c>
      <c r="M20" s="385"/>
    </row>
    <row r="21" spans="2:13" s="400" customFormat="1" ht="12.75" customHeight="1" thickBot="1">
      <c r="B21" s="392"/>
      <c r="C21" s="393"/>
      <c r="D21" s="405"/>
      <c r="E21" s="395" t="s">
        <v>278</v>
      </c>
      <c r="F21" s="396"/>
      <c r="G21" s="397"/>
      <c r="H21" s="406"/>
      <c r="I21" s="395" t="s">
        <v>285</v>
      </c>
      <c r="J21" s="396"/>
      <c r="K21" s="397"/>
      <c r="L21" s="398"/>
      <c r="M21" s="399"/>
    </row>
    <row r="22" spans="2:13" s="401" customFormat="1" ht="27.75" customHeight="1">
      <c r="B22" s="407" t="s">
        <v>261</v>
      </c>
      <c r="C22" s="408" t="s">
        <v>200</v>
      </c>
      <c r="D22" s="408" t="s">
        <v>262</v>
      </c>
      <c r="E22" s="408" t="str">
        <f>E13</f>
        <v>Q2- April to Sept-19</v>
      </c>
      <c r="F22" s="408"/>
      <c r="G22" s="408"/>
      <c r="H22" s="370"/>
      <c r="I22" s="408" t="str">
        <f>I13</f>
        <v>Q2- April to Sept-18</v>
      </c>
      <c r="J22" s="408"/>
      <c r="K22" s="408"/>
      <c r="L22" s="408" t="s">
        <v>286</v>
      </c>
      <c r="M22" s="409" t="s">
        <v>266</v>
      </c>
    </row>
    <row r="23" spans="2:13" ht="79.5" customHeight="1">
      <c r="B23" s="372"/>
      <c r="C23" s="373"/>
      <c r="D23" s="373"/>
      <c r="E23" s="374" t="s">
        <v>267</v>
      </c>
      <c r="F23" s="374" t="s">
        <v>287</v>
      </c>
      <c r="G23" s="374" t="s">
        <v>269</v>
      </c>
      <c r="H23" s="375"/>
      <c r="I23" s="374" t="s">
        <v>267</v>
      </c>
      <c r="J23" s="374" t="s">
        <v>287</v>
      </c>
      <c r="K23" s="374" t="s">
        <v>269</v>
      </c>
      <c r="L23" s="373"/>
      <c r="M23" s="376"/>
    </row>
    <row r="24" spans="2:13">
      <c r="B24" s="377">
        <v>1</v>
      </c>
      <c r="C24" s="373" t="s">
        <v>288</v>
      </c>
      <c r="D24" s="379" t="s">
        <v>272</v>
      </c>
      <c r="E24" s="380">
        <v>51</v>
      </c>
      <c r="F24" s="379">
        <v>0</v>
      </c>
      <c r="G24" s="381">
        <v>2.08</v>
      </c>
      <c r="H24" s="382"/>
      <c r="I24" s="380">
        <v>49</v>
      </c>
      <c r="J24" s="379">
        <v>0</v>
      </c>
      <c r="K24" s="381">
        <v>2.185815321435979</v>
      </c>
      <c r="L24" s="379">
        <v>0</v>
      </c>
      <c r="M24" s="383"/>
    </row>
    <row r="25" spans="2:13" ht="15.75" customHeight="1">
      <c r="B25" s="377">
        <v>2</v>
      </c>
      <c r="C25" s="373"/>
      <c r="D25" s="379" t="s">
        <v>274</v>
      </c>
      <c r="E25" s="380">
        <v>3</v>
      </c>
      <c r="F25" s="379">
        <v>0</v>
      </c>
      <c r="G25" s="381">
        <v>1.43</v>
      </c>
      <c r="H25" s="382"/>
      <c r="I25" s="380">
        <v>3</v>
      </c>
      <c r="J25" s="379">
        <v>0</v>
      </c>
      <c r="K25" s="381">
        <v>1.4220633175223927</v>
      </c>
      <c r="L25" s="379">
        <v>0</v>
      </c>
      <c r="M25" s="385"/>
    </row>
    <row r="26" spans="2:13" ht="15.75" customHeight="1">
      <c r="B26" s="377">
        <v>3</v>
      </c>
      <c r="C26" s="373"/>
      <c r="D26" s="379" t="s">
        <v>275</v>
      </c>
      <c r="E26" s="380">
        <v>5</v>
      </c>
      <c r="F26" s="379">
        <v>0</v>
      </c>
      <c r="G26" s="381">
        <v>2.58</v>
      </c>
      <c r="H26" s="382"/>
      <c r="I26" s="380">
        <v>5</v>
      </c>
      <c r="J26" s="379">
        <v>0</v>
      </c>
      <c r="K26" s="381">
        <v>1.3209224172971112</v>
      </c>
      <c r="L26" s="379">
        <v>0</v>
      </c>
      <c r="M26" s="385"/>
    </row>
    <row r="27" spans="2:13" ht="15.75" customHeight="1">
      <c r="B27" s="377">
        <v>4</v>
      </c>
      <c r="C27" s="373"/>
      <c r="D27" s="379" t="s">
        <v>276</v>
      </c>
      <c r="E27" s="380">
        <v>11</v>
      </c>
      <c r="F27" s="379">
        <v>0</v>
      </c>
      <c r="G27" s="381">
        <v>2.68</v>
      </c>
      <c r="H27" s="382"/>
      <c r="I27" s="380">
        <v>11</v>
      </c>
      <c r="J27" s="379">
        <v>0</v>
      </c>
      <c r="K27" s="381">
        <v>2.9365354863901714</v>
      </c>
      <c r="L27" s="379">
        <v>0</v>
      </c>
      <c r="M27" s="385"/>
    </row>
    <row r="28" spans="2:13" ht="15.75" customHeight="1">
      <c r="B28" s="377">
        <v>5</v>
      </c>
      <c r="C28" s="373"/>
      <c r="D28" s="379" t="s">
        <v>277</v>
      </c>
      <c r="E28" s="379">
        <v>37</v>
      </c>
      <c r="F28" s="379">
        <v>0</v>
      </c>
      <c r="G28" s="381">
        <v>0.15</v>
      </c>
      <c r="H28" s="391"/>
      <c r="I28" s="379">
        <v>35</v>
      </c>
      <c r="J28" s="379">
        <v>1</v>
      </c>
      <c r="K28" s="381">
        <v>1.2753067304716612</v>
      </c>
      <c r="L28" s="379">
        <v>0</v>
      </c>
      <c r="M28" s="385"/>
    </row>
    <row r="29" spans="2:13" ht="15.75" customHeight="1">
      <c r="B29" s="377">
        <v>6</v>
      </c>
      <c r="C29" s="373"/>
      <c r="D29" s="402" t="s">
        <v>250</v>
      </c>
      <c r="E29" s="403">
        <f t="shared" ref="E29:F29" si="3">SUM(E24:E28)</f>
        <v>107</v>
      </c>
      <c r="F29" s="403">
        <f t="shared" si="3"/>
        <v>0</v>
      </c>
      <c r="G29" s="404">
        <v>1.57</v>
      </c>
      <c r="H29" s="410"/>
      <c r="I29" s="403">
        <f t="shared" ref="I29:J29" si="4">SUM(I24:I28)</f>
        <v>103</v>
      </c>
      <c r="J29" s="403">
        <f t="shared" si="4"/>
        <v>1</v>
      </c>
      <c r="K29" s="404">
        <v>1.9074237459823877</v>
      </c>
      <c r="L29" s="403">
        <f>SUM(L24:L28)</f>
        <v>0</v>
      </c>
      <c r="M29" s="385"/>
    </row>
    <row r="30" spans="2:13" s="400" customFormat="1" ht="12.75" customHeight="1" thickBot="1">
      <c r="B30" s="392"/>
      <c r="C30" s="411"/>
      <c r="D30" s="412"/>
      <c r="E30" s="413"/>
      <c r="F30" s="413"/>
      <c r="G30" s="413"/>
      <c r="H30" s="406"/>
      <c r="I30" s="413"/>
      <c r="J30" s="413"/>
      <c r="K30" s="413"/>
      <c r="L30" s="398"/>
      <c r="M30" s="399"/>
    </row>
    <row r="31" spans="2:13" ht="62.25" customHeight="1">
      <c r="C31" s="414"/>
      <c r="D31" s="415"/>
      <c r="E31" s="415"/>
      <c r="F31" s="415"/>
      <c r="G31" s="415"/>
      <c r="H31" s="415"/>
      <c r="I31" s="415"/>
      <c r="J31" s="415"/>
      <c r="K31" s="415"/>
      <c r="L31" s="415"/>
      <c r="M31" s="415"/>
    </row>
    <row r="32" spans="2:13" ht="86.25" customHeight="1"/>
  </sheetData>
  <mergeCells count="35">
    <mergeCell ref="L22:L23"/>
    <mergeCell ref="M22:M23"/>
    <mergeCell ref="C24:C30"/>
    <mergeCell ref="M24:M30"/>
    <mergeCell ref="E30:G30"/>
    <mergeCell ref="I30:K30"/>
    <mergeCell ref="M13:M14"/>
    <mergeCell ref="C15:C21"/>
    <mergeCell ref="M15:M21"/>
    <mergeCell ref="E21:G21"/>
    <mergeCell ref="I21:K21"/>
    <mergeCell ref="B22:B23"/>
    <mergeCell ref="C22:C23"/>
    <mergeCell ref="D22:D23"/>
    <mergeCell ref="E22:G22"/>
    <mergeCell ref="I22:K22"/>
    <mergeCell ref="C6:C12"/>
    <mergeCell ref="M6:M12"/>
    <mergeCell ref="E12:G12"/>
    <mergeCell ref="I12:K12"/>
    <mergeCell ref="B13:B14"/>
    <mergeCell ref="C13:C14"/>
    <mergeCell ref="D13:D14"/>
    <mergeCell ref="E13:G13"/>
    <mergeCell ref="I13:K13"/>
    <mergeCell ref="L13:L14"/>
    <mergeCell ref="B1:M1"/>
    <mergeCell ref="B3:M3"/>
    <mergeCell ref="B4:B5"/>
    <mergeCell ref="C4:C5"/>
    <mergeCell ref="D4:D5"/>
    <mergeCell ref="E4:G4"/>
    <mergeCell ref="I4:K4"/>
    <mergeCell ref="L4:L5"/>
    <mergeCell ref="M4:M5"/>
  </mergeCells>
  <printOptions horizontalCentered="1" verticalCentered="1"/>
  <pageMargins left="0.7" right="0.7" top="0.75" bottom="0.75" header="0.3" footer="0.3"/>
  <pageSetup paperSize="9" scale="70"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FFFF00"/>
  </sheetPr>
  <dimension ref="A2:L35"/>
  <sheetViews>
    <sheetView view="pageBreakPreview" topLeftCell="A7" zoomScale="60" zoomScaleNormal="50" workbookViewId="0">
      <selection activeCell="E16" sqref="E16"/>
    </sheetView>
  </sheetViews>
  <sheetFormatPr defaultRowHeight="12.75"/>
  <cols>
    <col min="1" max="1" width="8" style="86" customWidth="1"/>
    <col min="2" max="2" width="62.7109375" style="86" customWidth="1"/>
    <col min="3" max="3" width="22" style="86" customWidth="1"/>
    <col min="4" max="4" width="23" style="86" customWidth="1"/>
    <col min="5" max="5" width="24.42578125" style="86" customWidth="1"/>
    <col min="6" max="6" width="20.42578125" style="86" customWidth="1"/>
    <col min="7" max="7" width="25" style="86" customWidth="1"/>
    <col min="8" max="9" width="21.85546875" style="86" bestFit="1" customWidth="1"/>
    <col min="10" max="10" width="9.140625" style="86"/>
    <col min="11" max="11" width="15.28515625" style="86" bestFit="1" customWidth="1"/>
    <col min="12" max="12" width="21.85546875" style="86" bestFit="1" customWidth="1"/>
    <col min="13" max="16384" width="9.140625" style="86"/>
  </cols>
  <sheetData>
    <row r="2" spans="1:9" ht="33">
      <c r="I2" s="87" t="s">
        <v>81</v>
      </c>
    </row>
    <row r="5" spans="1:9" ht="34.5">
      <c r="A5" s="271" t="s">
        <v>0</v>
      </c>
      <c r="B5" s="271"/>
      <c r="C5" s="271"/>
      <c r="D5" s="271"/>
      <c r="E5" s="271"/>
      <c r="F5" s="271"/>
      <c r="G5" s="271"/>
      <c r="H5" s="271"/>
      <c r="I5" s="271"/>
    </row>
    <row r="6" spans="1:9" ht="18" customHeight="1">
      <c r="A6" s="88"/>
      <c r="B6" s="88"/>
      <c r="C6" s="88"/>
      <c r="D6" s="88"/>
      <c r="E6" s="88"/>
    </row>
    <row r="8" spans="1:9" ht="30">
      <c r="A8" s="262" t="s">
        <v>80</v>
      </c>
      <c r="B8" s="262"/>
      <c r="C8" s="262"/>
      <c r="D8" s="262"/>
      <c r="E8" s="262"/>
      <c r="F8" s="262"/>
      <c r="G8" s="262"/>
      <c r="H8" s="262"/>
      <c r="I8" s="262"/>
    </row>
    <row r="10" spans="1:9" ht="30">
      <c r="A10" s="262" t="s">
        <v>79</v>
      </c>
      <c r="B10" s="262"/>
      <c r="C10" s="262"/>
      <c r="D10" s="262"/>
      <c r="E10" s="262"/>
      <c r="F10" s="262"/>
      <c r="G10" s="262"/>
      <c r="H10" s="262"/>
      <c r="I10" s="262"/>
    </row>
    <row r="11" spans="1:9" ht="13.5" thickBot="1"/>
    <row r="12" spans="1:9" ht="24" customHeight="1">
      <c r="A12" s="89"/>
      <c r="B12" s="90"/>
      <c r="C12" s="90"/>
      <c r="D12" s="269" t="s">
        <v>16</v>
      </c>
      <c r="E12" s="269"/>
      <c r="F12" s="269" t="s">
        <v>67</v>
      </c>
      <c r="G12" s="269"/>
      <c r="H12" s="272" t="s">
        <v>17</v>
      </c>
      <c r="I12" s="270"/>
    </row>
    <row r="13" spans="1:9" ht="24" customHeight="1">
      <c r="A13" s="91"/>
      <c r="B13" s="50"/>
      <c r="C13" s="50"/>
      <c r="D13" s="50" t="s">
        <v>14</v>
      </c>
      <c r="E13" s="50" t="s">
        <v>15</v>
      </c>
      <c r="F13" s="50" t="s">
        <v>14</v>
      </c>
      <c r="G13" s="50" t="s">
        <v>15</v>
      </c>
      <c r="H13" s="268" t="s">
        <v>14</v>
      </c>
      <c r="I13" s="273" t="s">
        <v>15</v>
      </c>
    </row>
    <row r="14" spans="1:9" ht="33" customHeight="1">
      <c r="A14" s="91"/>
      <c r="B14" s="50"/>
      <c r="C14" s="50"/>
      <c r="D14" s="268" t="str">
        <f>+'SHEET-1'!D14:E14</f>
        <v>July-2019 to Sept-2019</v>
      </c>
      <c r="E14" s="268"/>
      <c r="F14" s="268" t="str">
        <f>+'SHEET-1'!F14:G14</f>
        <v>July-2018 to Sept-2018</v>
      </c>
      <c r="G14" s="268"/>
      <c r="H14" s="268"/>
      <c r="I14" s="273"/>
    </row>
    <row r="15" spans="1:9" ht="24" customHeight="1">
      <c r="A15" s="91" t="s">
        <v>64</v>
      </c>
      <c r="B15" s="50" t="s">
        <v>77</v>
      </c>
      <c r="C15" s="50"/>
      <c r="D15" s="172"/>
      <c r="E15" s="172"/>
      <c r="F15" s="172"/>
      <c r="G15" s="172"/>
      <c r="H15" s="172"/>
      <c r="I15" s="173"/>
    </row>
    <row r="16" spans="1:9" ht="24" customHeight="1">
      <c r="A16" s="91">
        <v>1</v>
      </c>
      <c r="B16" s="93" t="s">
        <v>124</v>
      </c>
      <c r="C16" s="50" t="s">
        <v>78</v>
      </c>
      <c r="D16" s="198">
        <f>ROUND(+('SHEET-3'!D15/'SHEET-1'!D22)*10,2)</f>
        <v>5.39</v>
      </c>
      <c r="E16" s="176">
        <f>ROUND(+('SHEET-3'!E15/'SHEET-1'!E22)*10,2)</f>
        <v>4.92</v>
      </c>
      <c r="F16" s="198">
        <f>ROUND(+('SHEET-3'!F15/'SHEET-1'!F22)*10,2)</f>
        <v>4.3099999999999996</v>
      </c>
      <c r="G16" s="198">
        <f>ROUND(+('SHEET-3'!G15/'SHEET-1'!G22)*10,2)</f>
        <v>4.3600000000000003</v>
      </c>
      <c r="H16" s="177">
        <f>(D16-F16)/F16</f>
        <v>0.25058004640371234</v>
      </c>
      <c r="I16" s="175">
        <f>(E16-G16)/G16</f>
        <v>0.12844036697247696</v>
      </c>
    </row>
    <row r="17" spans="1:12" ht="24" customHeight="1">
      <c r="A17" s="91">
        <v>2</v>
      </c>
      <c r="B17" s="93" t="s">
        <v>70</v>
      </c>
      <c r="C17" s="50" t="s">
        <v>78</v>
      </c>
      <c r="D17" s="176"/>
      <c r="E17" s="176"/>
      <c r="F17" s="204"/>
      <c r="G17" s="176"/>
      <c r="H17" s="20"/>
      <c r="I17" s="188"/>
    </row>
    <row r="18" spans="1:12" ht="24" customHeight="1">
      <c r="A18" s="91">
        <v>3</v>
      </c>
      <c r="B18" s="93" t="s">
        <v>71</v>
      </c>
      <c r="C18" s="50" t="s">
        <v>78</v>
      </c>
      <c r="D18" s="176"/>
      <c r="E18" s="176"/>
      <c r="F18" s="176"/>
      <c r="G18" s="176"/>
      <c r="H18" s="20"/>
      <c r="I18" s="188"/>
    </row>
    <row r="19" spans="1:12" ht="24" customHeight="1">
      <c r="A19" s="91">
        <v>4</v>
      </c>
      <c r="B19" s="93" t="s">
        <v>72</v>
      </c>
      <c r="C19" s="50" t="s">
        <v>78</v>
      </c>
      <c r="D19" s="176"/>
      <c r="E19" s="176"/>
      <c r="F19" s="176"/>
      <c r="G19" s="176"/>
      <c r="H19" s="20"/>
      <c r="I19" s="188"/>
    </row>
    <row r="20" spans="1:12" ht="24" customHeight="1">
      <c r="A20" s="91">
        <v>5</v>
      </c>
      <c r="B20" s="93" t="s">
        <v>73</v>
      </c>
      <c r="C20" s="50" t="s">
        <v>78</v>
      </c>
      <c r="D20" s="176"/>
      <c r="E20" s="176"/>
      <c r="F20" s="176"/>
      <c r="G20" s="176"/>
      <c r="H20" s="20"/>
      <c r="I20" s="188"/>
    </row>
    <row r="21" spans="1:12" ht="28.5" customHeight="1">
      <c r="A21" s="91">
        <v>6</v>
      </c>
      <c r="B21" s="93" t="s">
        <v>229</v>
      </c>
      <c r="C21" s="50" t="s">
        <v>78</v>
      </c>
      <c r="D21" s="176">
        <f>ROUND(+('SHEET-3'!D23/'SHEET-1'!D27)*10,2)</f>
        <v>6.98</v>
      </c>
      <c r="E21" s="198">
        <f>ROUND(+('SHEET-3'!E23/'SHEET-1'!E27)*10,2)</f>
        <v>6.61</v>
      </c>
      <c r="F21" s="198">
        <f>ROUND(+('SHEET-3'!F23/'SHEET-1'!F27)*10,2)</f>
        <v>6.17</v>
      </c>
      <c r="G21" s="198">
        <f>ROUND(+('SHEET-3'!G23/'SHEET-1'!G27)*10,2)</f>
        <v>6.05</v>
      </c>
      <c r="H21" s="177">
        <f>(D21-F21)/F21</f>
        <v>0.13128038897893038</v>
      </c>
      <c r="I21" s="175">
        <f>(E21-G21)/G21</f>
        <v>9.2561983471074472E-2</v>
      </c>
    </row>
    <row r="22" spans="1:12" ht="24" customHeight="1">
      <c r="A22" s="91"/>
      <c r="B22" s="50"/>
      <c r="C22" s="50"/>
      <c r="D22" s="176"/>
      <c r="E22" s="176"/>
      <c r="F22" s="176"/>
      <c r="G22" s="176"/>
      <c r="H22" s="20"/>
      <c r="I22" s="188"/>
    </row>
    <row r="23" spans="1:12" ht="24" customHeight="1">
      <c r="A23" s="91" t="s">
        <v>65</v>
      </c>
      <c r="B23" s="50" t="s">
        <v>107</v>
      </c>
      <c r="C23" s="50"/>
      <c r="D23" s="176"/>
      <c r="E23" s="176"/>
      <c r="F23" s="176"/>
      <c r="G23" s="176"/>
      <c r="H23" s="171"/>
      <c r="I23" s="188"/>
    </row>
    <row r="24" spans="1:12" ht="24" customHeight="1">
      <c r="A24" s="91">
        <v>1</v>
      </c>
      <c r="B24" s="93" t="s">
        <v>4</v>
      </c>
      <c r="C24" s="50" t="s">
        <v>78</v>
      </c>
      <c r="D24" s="176">
        <f>ROUND(+'SHEET-5'!D32/100,2)</f>
        <v>7.42</v>
      </c>
      <c r="E24" s="198">
        <f>ROUND(+'SHEET-5'!E32/100,2)</f>
        <v>7.23</v>
      </c>
      <c r="F24" s="198">
        <f>ROUND(+'SHEET-5'!F32/100,2)</f>
        <v>6.95</v>
      </c>
      <c r="G24" s="198">
        <f>ROUND(+'SHEET-5'!G32/100,2)</f>
        <v>6.74</v>
      </c>
      <c r="H24" s="177">
        <f t="shared" ref="H24:I26" si="0">(D24-F24)/F24</f>
        <v>6.7625899280575497E-2</v>
      </c>
      <c r="I24" s="175">
        <f t="shared" si="0"/>
        <v>7.2700296735905071E-2</v>
      </c>
      <c r="K24" s="99"/>
      <c r="L24" s="99"/>
    </row>
    <row r="25" spans="1:12" ht="24" customHeight="1">
      <c r="A25" s="91">
        <v>2</v>
      </c>
      <c r="B25" s="93" t="s">
        <v>74</v>
      </c>
      <c r="C25" s="50" t="s">
        <v>78</v>
      </c>
      <c r="D25" s="176">
        <f>ROUND(+'SHEET-5'!D39/100,2)</f>
        <v>6.14</v>
      </c>
      <c r="E25" s="198">
        <f>ROUND(+'SHEET-5'!E39/100,2)</f>
        <v>5.83</v>
      </c>
      <c r="F25" s="198">
        <f>ROUND(+'SHEET-5'!F39/100,2)</f>
        <v>5.84</v>
      </c>
      <c r="G25" s="198">
        <f>ROUND(+'SHEET-5'!G39/100,2)</f>
        <v>5.35</v>
      </c>
      <c r="H25" s="177">
        <f t="shared" si="0"/>
        <v>5.13698630136986E-2</v>
      </c>
      <c r="I25" s="175">
        <f t="shared" si="0"/>
        <v>8.971962616822439E-2</v>
      </c>
      <c r="K25" s="99"/>
      <c r="L25" s="99"/>
    </row>
    <row r="26" spans="1:12" ht="24" customHeight="1">
      <c r="A26" s="100">
        <v>3</v>
      </c>
      <c r="B26" s="101" t="s">
        <v>75</v>
      </c>
      <c r="C26" s="50" t="s">
        <v>78</v>
      </c>
      <c r="D26" s="170">
        <f>ROUND(+'SHEET-5'!D40/100,2)</f>
        <v>6.66</v>
      </c>
      <c r="E26" s="197">
        <f>ROUND(+'SHEET-5'!E40/100,2)</f>
        <v>6.36</v>
      </c>
      <c r="F26" s="197">
        <f>ROUND(+'SHEET-5'!F40/100,2)</f>
        <v>6.3</v>
      </c>
      <c r="G26" s="197">
        <f>ROUND(+'SHEET-5'!G40/100,2)</f>
        <v>5.89</v>
      </c>
      <c r="H26" s="177">
        <f t="shared" si="0"/>
        <v>5.7142857142857197E-2</v>
      </c>
      <c r="I26" s="175">
        <f t="shared" si="0"/>
        <v>7.9796264855687721E-2</v>
      </c>
      <c r="K26" s="99"/>
      <c r="L26" s="99"/>
    </row>
    <row r="27" spans="1:12" ht="24" customHeight="1">
      <c r="A27" s="100"/>
      <c r="B27" s="101"/>
      <c r="C27" s="92"/>
      <c r="D27" s="170"/>
      <c r="E27" s="170"/>
      <c r="F27" s="170"/>
      <c r="G27" s="170"/>
      <c r="H27" s="54"/>
      <c r="I27" s="102"/>
    </row>
    <row r="28" spans="1:12" ht="24" customHeight="1" thickBot="1">
      <c r="A28" s="95"/>
      <c r="B28" s="96" t="s">
        <v>76</v>
      </c>
      <c r="C28" s="21"/>
      <c r="D28" s="103"/>
      <c r="E28" s="103"/>
      <c r="F28" s="103"/>
      <c r="G28" s="103"/>
      <c r="H28" s="104"/>
      <c r="I28" s="105"/>
    </row>
    <row r="30" spans="1:12" ht="15.75">
      <c r="F30" s="106"/>
      <c r="G30" s="106"/>
      <c r="H30" s="106"/>
    </row>
    <row r="35" spans="1:2" ht="12.75" customHeight="1">
      <c r="A35" s="258" t="s">
        <v>234</v>
      </c>
      <c r="B35" s="258"/>
    </row>
  </sheetData>
  <mergeCells count="11">
    <mergeCell ref="A5:I5"/>
    <mergeCell ref="A35:B35"/>
    <mergeCell ref="H12:I12"/>
    <mergeCell ref="H13:H14"/>
    <mergeCell ref="I13:I14"/>
    <mergeCell ref="D14:E14"/>
    <mergeCell ref="D12:E12"/>
    <mergeCell ref="F12:G12"/>
    <mergeCell ref="F14:G14"/>
    <mergeCell ref="A10:I10"/>
    <mergeCell ref="A8:I8"/>
  </mergeCells>
  <phoneticPr fontId="1"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2:M62"/>
  <sheetViews>
    <sheetView view="pageBreakPreview" topLeftCell="A7" zoomScale="60" zoomScaleNormal="60" workbookViewId="0">
      <selection activeCell="I28" sqref="B28:I28"/>
    </sheetView>
  </sheetViews>
  <sheetFormatPr defaultRowHeight="12.75"/>
  <cols>
    <col min="1" max="1" width="8" style="86" customWidth="1"/>
    <col min="2" max="2" width="76.42578125" style="86" customWidth="1"/>
    <col min="3" max="3" width="22" style="86" customWidth="1"/>
    <col min="4" max="4" width="25" style="86" customWidth="1"/>
    <col min="5" max="5" width="23.5703125" style="86" customWidth="1"/>
    <col min="6" max="6" width="24.42578125" style="86" customWidth="1"/>
    <col min="7" max="7" width="23.5703125" style="86" customWidth="1"/>
    <col min="8" max="8" width="19.5703125" style="86" customWidth="1"/>
    <col min="9" max="9" width="21.28515625" style="86" customWidth="1"/>
    <col min="10" max="10" width="9.85546875" style="86" bestFit="1" customWidth="1"/>
    <col min="11" max="11" width="9.140625" style="86"/>
    <col min="12" max="13" width="15.85546875" style="86" bestFit="1" customWidth="1"/>
    <col min="14" max="16384" width="9.140625" style="86"/>
  </cols>
  <sheetData>
    <row r="2" spans="1:11" ht="30">
      <c r="I2" s="107" t="s">
        <v>44</v>
      </c>
    </row>
    <row r="5" spans="1:11" ht="30">
      <c r="A5" s="274" t="s">
        <v>0</v>
      </c>
      <c r="B5" s="274"/>
      <c r="C5" s="274"/>
      <c r="D5" s="274"/>
      <c r="E5" s="274"/>
      <c r="F5" s="274"/>
      <c r="G5" s="274"/>
      <c r="H5" s="274"/>
      <c r="I5" s="274"/>
    </row>
    <row r="6" spans="1:11" ht="18" customHeight="1">
      <c r="A6" s="88"/>
      <c r="B6" s="88"/>
      <c r="C6" s="88"/>
      <c r="D6" s="88"/>
      <c r="E6" s="88"/>
    </row>
    <row r="8" spans="1:11" ht="27.75">
      <c r="A8" s="275" t="s">
        <v>43</v>
      </c>
      <c r="B8" s="275"/>
      <c r="C8" s="275"/>
      <c r="D8" s="275"/>
      <c r="E8" s="275"/>
      <c r="F8" s="275"/>
      <c r="G8" s="275"/>
      <c r="H8" s="275"/>
      <c r="I8" s="275"/>
    </row>
    <row r="10" spans="1:11" ht="27.75">
      <c r="A10" s="275" t="s">
        <v>42</v>
      </c>
      <c r="B10" s="275"/>
      <c r="C10" s="275"/>
      <c r="D10" s="275"/>
      <c r="E10" s="275"/>
      <c r="F10" s="275"/>
      <c r="G10" s="275"/>
      <c r="H10" s="275"/>
      <c r="I10" s="275"/>
    </row>
    <row r="11" spans="1:11" ht="13.5" thickBot="1"/>
    <row r="12" spans="1:11" ht="21.6" customHeight="1">
      <c r="A12" s="89"/>
      <c r="B12" s="90"/>
      <c r="C12" s="90"/>
      <c r="D12" s="269" t="s">
        <v>106</v>
      </c>
      <c r="E12" s="269"/>
      <c r="F12" s="269" t="s">
        <v>67</v>
      </c>
      <c r="G12" s="269"/>
      <c r="H12" s="269" t="s">
        <v>17</v>
      </c>
      <c r="I12" s="270"/>
    </row>
    <row r="13" spans="1:11" ht="21.6" customHeight="1">
      <c r="A13" s="91"/>
      <c r="B13" s="50"/>
      <c r="C13" s="50"/>
      <c r="D13" s="50" t="s">
        <v>14</v>
      </c>
      <c r="E13" s="50" t="s">
        <v>15</v>
      </c>
      <c r="F13" s="50" t="s">
        <v>14</v>
      </c>
      <c r="G13" s="50" t="s">
        <v>15</v>
      </c>
      <c r="H13" s="268" t="s">
        <v>14</v>
      </c>
      <c r="I13" s="263" t="s">
        <v>15</v>
      </c>
    </row>
    <row r="14" spans="1:11" ht="33" customHeight="1">
      <c r="A14" s="91"/>
      <c r="B14" s="50"/>
      <c r="C14" s="50"/>
      <c r="D14" s="268" t="str">
        <f>+'SHEET-2'!D14:E14</f>
        <v>July-2019 to Sept-2019</v>
      </c>
      <c r="E14" s="268"/>
      <c r="F14" s="268" t="str">
        <f>+'SHEET-2'!F14:G14</f>
        <v>July-2018 to Sept-2018</v>
      </c>
      <c r="G14" s="268"/>
      <c r="H14" s="259"/>
      <c r="I14" s="263"/>
    </row>
    <row r="15" spans="1:11" ht="24" customHeight="1">
      <c r="A15" s="91">
        <v>1</v>
      </c>
      <c r="B15" s="93" t="s">
        <v>126</v>
      </c>
      <c r="C15" s="50" t="s">
        <v>13</v>
      </c>
      <c r="D15" s="176">
        <f>+E15-1627.9</f>
        <v>1477.81</v>
      </c>
      <c r="E15" s="176">
        <v>3105.71</v>
      </c>
      <c r="F15" s="210">
        <f>+G15-1473.39</f>
        <v>1233.8099999999997</v>
      </c>
      <c r="G15" s="210">
        <v>2707.2</v>
      </c>
      <c r="H15" s="177">
        <f t="shared" ref="H15:I21" si="0">(D15-F15)/F15</f>
        <v>0.19776140572697601</v>
      </c>
      <c r="I15" s="184">
        <f t="shared" si="0"/>
        <v>0.14720375295508284</v>
      </c>
      <c r="J15" s="211"/>
      <c r="K15" s="222"/>
    </row>
    <row r="16" spans="1:11" ht="24" customHeight="1">
      <c r="A16" s="91">
        <v>2</v>
      </c>
      <c r="B16" s="93" t="s">
        <v>25</v>
      </c>
      <c r="C16" s="50" t="s">
        <v>13</v>
      </c>
      <c r="D16" s="176">
        <f>+E16-111.67</f>
        <v>137.61000000000001</v>
      </c>
      <c r="E16" s="176">
        <f>+'SHEET-7'!C23</f>
        <v>249.28</v>
      </c>
      <c r="F16" s="210">
        <f>+G16-117.43+6</f>
        <v>132.82999999999998</v>
      </c>
      <c r="G16" s="213">
        <f>+'SHEET-7'!D23</f>
        <v>244.26</v>
      </c>
      <c r="H16" s="177">
        <f t="shared" si="0"/>
        <v>3.5985846570805016E-2</v>
      </c>
      <c r="I16" s="184">
        <f t="shared" si="0"/>
        <v>2.055187095717682E-2</v>
      </c>
      <c r="J16" s="211"/>
    </row>
    <row r="17" spans="1:13" ht="24" customHeight="1">
      <c r="A17" s="91">
        <v>3</v>
      </c>
      <c r="B17" s="93" t="s">
        <v>26</v>
      </c>
      <c r="C17" s="50" t="s">
        <v>13</v>
      </c>
      <c r="D17" s="176">
        <f>+E17-15.1</f>
        <v>15.110000000000001</v>
      </c>
      <c r="E17" s="176">
        <f>+'SHEET-7'!C29</f>
        <v>30.21</v>
      </c>
      <c r="F17" s="210">
        <f>+G17-15.14</f>
        <v>15.14</v>
      </c>
      <c r="G17" s="213">
        <f>+'SHEET-7'!D29</f>
        <v>30.28</v>
      </c>
      <c r="H17" s="177">
        <f t="shared" si="0"/>
        <v>-1.9815059445177914E-3</v>
      </c>
      <c r="I17" s="184">
        <f t="shared" si="0"/>
        <v>-2.3117569352708151E-3</v>
      </c>
      <c r="J17" s="211"/>
    </row>
    <row r="18" spans="1:13" ht="24" customHeight="1">
      <c r="A18" s="91">
        <v>4</v>
      </c>
      <c r="B18" s="93" t="s">
        <v>27</v>
      </c>
      <c r="C18" s="50" t="s">
        <v>13</v>
      </c>
      <c r="D18" s="176">
        <f>+E18-10.63</f>
        <v>10.632</v>
      </c>
      <c r="E18" s="176">
        <f>+'SHEET-7'!C24</f>
        <v>21.262</v>
      </c>
      <c r="F18" s="210">
        <f>+G18-13.3</f>
        <v>16.2</v>
      </c>
      <c r="G18" s="213">
        <f>+'SHEET-7'!D24</f>
        <v>29.5</v>
      </c>
      <c r="H18" s="177">
        <f t="shared" si="0"/>
        <v>-0.34370370370370368</v>
      </c>
      <c r="I18" s="184">
        <f>(E18-G18)/G18</f>
        <v>-0.27925423728813559</v>
      </c>
      <c r="J18" s="211"/>
      <c r="L18" s="108"/>
      <c r="M18" s="108"/>
    </row>
    <row r="19" spans="1:13" ht="24" customHeight="1">
      <c r="A19" s="91">
        <v>5</v>
      </c>
      <c r="B19" s="93" t="s">
        <v>28</v>
      </c>
      <c r="C19" s="50" t="s">
        <v>13</v>
      </c>
      <c r="D19" s="176">
        <f>+E19-64.36</f>
        <v>68.36</v>
      </c>
      <c r="E19" s="176">
        <f>+'SHEET-7'!C28</f>
        <v>132.72</v>
      </c>
      <c r="F19" s="210">
        <f>+G19-65.5+2</f>
        <v>67.509999999999991</v>
      </c>
      <c r="G19" s="213">
        <f>+'SHEET-7'!D28</f>
        <v>131.01</v>
      </c>
      <c r="H19" s="177">
        <f t="shared" si="0"/>
        <v>1.2590727299659437E-2</v>
      </c>
      <c r="I19" s="184">
        <f>(E19-G19)/G19</f>
        <v>1.3052438745134022E-2</v>
      </c>
      <c r="J19" s="211"/>
      <c r="L19" s="109"/>
      <c r="M19" s="109"/>
    </row>
    <row r="20" spans="1:13" ht="24" customHeight="1">
      <c r="A20" s="91">
        <v>6</v>
      </c>
      <c r="B20" s="93" t="s">
        <v>29</v>
      </c>
      <c r="C20" s="50" t="s">
        <v>13</v>
      </c>
      <c r="D20" s="176">
        <f>+E20-17.53</f>
        <v>21.847200000000001</v>
      </c>
      <c r="E20" s="176">
        <f>+'SHEET-7'!C25</f>
        <v>39.377200000000002</v>
      </c>
      <c r="F20" s="210">
        <f>+G20-19.69+2</f>
        <v>21.679999999999996</v>
      </c>
      <c r="G20" s="213">
        <f>+'SHEET-7'!D25</f>
        <v>39.369999999999997</v>
      </c>
      <c r="H20" s="185">
        <f t="shared" si="0"/>
        <v>7.7121771217714347E-3</v>
      </c>
      <c r="I20" s="186">
        <f>(E20-G20)/G20</f>
        <v>1.8288036576084675E-4</v>
      </c>
      <c r="J20" s="211"/>
      <c r="L20" s="109"/>
      <c r="M20" s="109"/>
    </row>
    <row r="21" spans="1:13" ht="24" customHeight="1">
      <c r="A21" s="91" t="s">
        <v>117</v>
      </c>
      <c r="B21" s="93" t="s">
        <v>118</v>
      </c>
      <c r="C21" s="50" t="s">
        <v>13</v>
      </c>
      <c r="D21" s="176">
        <f>+E21+15</f>
        <v>-15</v>
      </c>
      <c r="E21" s="176">
        <f>+'SHEET-7'!C32</f>
        <v>-30</v>
      </c>
      <c r="F21" s="210">
        <f>+G21+11.86+2</f>
        <v>-15.86</v>
      </c>
      <c r="G21" s="213">
        <f>+'SHEET-7'!D32-6</f>
        <v>-29.72</v>
      </c>
      <c r="H21" s="205">
        <f t="shared" si="0"/>
        <v>-5.4224464060529602E-2</v>
      </c>
      <c r="I21" s="205">
        <f t="shared" si="0"/>
        <v>9.4212651413190154E-3</v>
      </c>
      <c r="J21" s="211"/>
      <c r="L21" s="109"/>
      <c r="M21" s="109"/>
    </row>
    <row r="22" spans="1:13" ht="24" customHeight="1">
      <c r="A22" s="91">
        <v>7</v>
      </c>
      <c r="B22" s="93" t="s">
        <v>125</v>
      </c>
      <c r="C22" s="50" t="s">
        <v>13</v>
      </c>
      <c r="D22" s="176">
        <f>+E22-2.56</f>
        <v>2.5500000000000003</v>
      </c>
      <c r="E22" s="176">
        <f>+'SHEET-7'!C26</f>
        <v>5.1100000000000003</v>
      </c>
      <c r="F22" s="210">
        <f>+G22-2.05</f>
        <v>12.190000000000001</v>
      </c>
      <c r="G22" s="213">
        <f>+'SHEET-7'!D26</f>
        <v>14.24</v>
      </c>
      <c r="H22" s="234">
        <f t="shared" ref="H22" si="1">(D22-F22)/F22</f>
        <v>-0.79081214109926168</v>
      </c>
      <c r="I22" s="234">
        <f t="shared" ref="I22" si="2">(E22-G22)/G22</f>
        <v>-0.6411516853932584</v>
      </c>
      <c r="J22" s="211"/>
      <c r="L22" s="109"/>
      <c r="M22" s="109"/>
    </row>
    <row r="23" spans="1:13" ht="24" customHeight="1">
      <c r="A23" s="91">
        <v>8</v>
      </c>
      <c r="B23" s="93" t="s">
        <v>30</v>
      </c>
      <c r="C23" s="50" t="s">
        <v>13</v>
      </c>
      <c r="D23" s="22">
        <f>+SUM(D15:D22)</f>
        <v>1718.9191999999998</v>
      </c>
      <c r="E23" s="22">
        <f>+SUM(E15:E22)</f>
        <v>3553.6692000000003</v>
      </c>
      <c r="F23" s="213">
        <f>+SUM(F15:F22)</f>
        <v>1483.5</v>
      </c>
      <c r="G23" s="213">
        <f>+SUM(G15:G22)</f>
        <v>3166.14</v>
      </c>
      <c r="H23" s="177">
        <f t="shared" ref="H23:I26" si="3">(D23-F23)/F23</f>
        <v>0.15869174250084248</v>
      </c>
      <c r="I23" s="184">
        <f t="shared" si="3"/>
        <v>0.12239799882506788</v>
      </c>
      <c r="J23" s="98"/>
    </row>
    <row r="24" spans="1:13" ht="24" customHeight="1">
      <c r="A24" s="91">
        <v>9</v>
      </c>
      <c r="B24" s="93" t="s">
        <v>31</v>
      </c>
      <c r="C24" s="50" t="s">
        <v>13</v>
      </c>
      <c r="D24" s="176">
        <f>+E24-41.82</f>
        <v>35.929099999999998</v>
      </c>
      <c r="E24" s="176">
        <v>77.749099999999999</v>
      </c>
      <c r="F24" s="210">
        <f>+G24-77.34</f>
        <v>107.78</v>
      </c>
      <c r="G24" s="210">
        <v>185.12</v>
      </c>
      <c r="H24" s="177">
        <f t="shared" si="3"/>
        <v>-0.66664408981258116</v>
      </c>
      <c r="I24" s="184">
        <f t="shared" si="3"/>
        <v>-0.58000702247191016</v>
      </c>
    </row>
    <row r="25" spans="1:13" ht="24" customHeight="1">
      <c r="A25" s="91">
        <v>10</v>
      </c>
      <c r="B25" s="93" t="s">
        <v>32</v>
      </c>
      <c r="C25" s="50" t="s">
        <v>13</v>
      </c>
      <c r="D25" s="176">
        <v>0</v>
      </c>
      <c r="E25" s="176">
        <f>+D25</f>
        <v>0</v>
      </c>
      <c r="F25" s="210">
        <v>0</v>
      </c>
      <c r="G25" s="213">
        <v>0</v>
      </c>
      <c r="H25" s="234">
        <v>0</v>
      </c>
      <c r="I25" s="184">
        <v>0</v>
      </c>
    </row>
    <row r="26" spans="1:13" ht="24" customHeight="1">
      <c r="A26" s="91">
        <v>11</v>
      </c>
      <c r="B26" s="93" t="s">
        <v>88</v>
      </c>
      <c r="C26" s="50" t="s">
        <v>13</v>
      </c>
      <c r="D26" s="176">
        <f>+E26-37.45</f>
        <v>34.881203429395001</v>
      </c>
      <c r="E26" s="176">
        <f>+'SHEET-7'!C14</f>
        <v>72.331203429395003</v>
      </c>
      <c r="F26" s="210">
        <f>+G26-33.46</f>
        <v>33.46</v>
      </c>
      <c r="G26" s="213">
        <f>+'SHEET-7'!D14</f>
        <v>66.92</v>
      </c>
      <c r="H26" s="177">
        <f t="shared" si="3"/>
        <v>4.2474699025552891E-2</v>
      </c>
      <c r="I26" s="184">
        <f t="shared" si="3"/>
        <v>8.0860780475119576E-2</v>
      </c>
    </row>
    <row r="27" spans="1:13" ht="24" customHeight="1">
      <c r="A27" s="91">
        <v>12</v>
      </c>
      <c r="B27" s="93" t="s">
        <v>230</v>
      </c>
      <c r="C27" s="50" t="s">
        <v>13</v>
      </c>
      <c r="D27" s="174">
        <v>0</v>
      </c>
      <c r="E27" s="174">
        <f>+D27</f>
        <v>0</v>
      </c>
      <c r="F27" s="213">
        <f>+G27-0.02</f>
        <v>0.02</v>
      </c>
      <c r="G27" s="213">
        <v>0.04</v>
      </c>
      <c r="H27" s="234">
        <v>0</v>
      </c>
      <c r="I27" s="184">
        <v>0</v>
      </c>
    </row>
    <row r="28" spans="1:13" ht="24" customHeight="1">
      <c r="A28" s="91">
        <v>13</v>
      </c>
      <c r="B28" s="93" t="s">
        <v>108</v>
      </c>
      <c r="C28" s="50" t="s">
        <v>13</v>
      </c>
      <c r="D28" s="176">
        <f>+E28-1777.12</f>
        <v>1645.0621017563603</v>
      </c>
      <c r="E28" s="176">
        <f>+'SHEET-7'!C11</f>
        <v>3422.1821017563602</v>
      </c>
      <c r="F28" s="210">
        <f>+G28-1618.13</f>
        <v>1417.13</v>
      </c>
      <c r="G28" s="213">
        <f>+'SHEET-7'!D11</f>
        <v>3035.26</v>
      </c>
      <c r="H28" s="177">
        <f t="shared" ref="H28:I30" si="4">(D28-F28)/F28</f>
        <v>0.16084064394682224</v>
      </c>
      <c r="I28" s="175">
        <f t="shared" si="4"/>
        <v>0.12747576871713132</v>
      </c>
    </row>
    <row r="29" spans="1:13" ht="24" customHeight="1">
      <c r="A29" s="91">
        <v>14</v>
      </c>
      <c r="B29" s="93" t="s">
        <v>33</v>
      </c>
      <c r="C29" s="50" t="s">
        <v>13</v>
      </c>
      <c r="D29" s="176">
        <f>+E29-18.47</f>
        <v>18.467295</v>
      </c>
      <c r="E29" s="176">
        <f>+'SHEET-7'!C13</f>
        <v>36.937294999999999</v>
      </c>
      <c r="F29" s="210">
        <f>+G29-18.45</f>
        <v>18.45</v>
      </c>
      <c r="G29" s="213">
        <f>+'SHEET-7'!D13</f>
        <v>36.9</v>
      </c>
      <c r="H29" s="177">
        <f t="shared" si="4"/>
        <v>9.3739837398377926E-4</v>
      </c>
      <c r="I29" s="175">
        <f t="shared" si="4"/>
        <v>1.0107046070460786E-3</v>
      </c>
    </row>
    <row r="30" spans="1:13" ht="24" customHeight="1">
      <c r="A30" s="91">
        <v>15</v>
      </c>
      <c r="B30" s="93" t="s">
        <v>225</v>
      </c>
      <c r="C30" s="50" t="s">
        <v>13</v>
      </c>
      <c r="D30" s="176">
        <f>+E30-28.15</f>
        <v>28.153949529999998</v>
      </c>
      <c r="E30" s="176">
        <f>+'SHEET-7'!C12</f>
        <v>56.303949529999997</v>
      </c>
      <c r="F30" s="210">
        <f>+G30-55.05+26</f>
        <v>27.25</v>
      </c>
      <c r="G30" s="213">
        <f>+'SHEET-7'!D12</f>
        <v>56.3</v>
      </c>
      <c r="H30" s="177">
        <f t="shared" si="4"/>
        <v>3.3172459816513705E-2</v>
      </c>
      <c r="I30" s="175">
        <f t="shared" si="4"/>
        <v>7.0151509769091793E-5</v>
      </c>
    </row>
    <row r="31" spans="1:13" ht="24" customHeight="1">
      <c r="A31" s="91">
        <v>16</v>
      </c>
      <c r="B31" s="93" t="s">
        <v>34</v>
      </c>
      <c r="C31" s="50"/>
      <c r="D31" s="176"/>
      <c r="E31" s="176"/>
      <c r="F31" s="210"/>
      <c r="G31" s="210"/>
      <c r="H31" s="20"/>
      <c r="I31" s="187"/>
    </row>
    <row r="32" spans="1:13" ht="24" customHeight="1">
      <c r="A32" s="91">
        <v>17</v>
      </c>
      <c r="B32" s="93" t="s">
        <v>119</v>
      </c>
      <c r="C32" s="50" t="s">
        <v>35</v>
      </c>
      <c r="D32" s="177">
        <f>D15/D23</f>
        <v>0.85973209211928059</v>
      </c>
      <c r="E32" s="177">
        <f>E15/E23</f>
        <v>0.87394459788209877</v>
      </c>
      <c r="F32" s="209">
        <f t="shared" ref="F32:G32" si="5">F15/F23</f>
        <v>0.83168857431749221</v>
      </c>
      <c r="G32" s="209">
        <f t="shared" si="5"/>
        <v>0.85504747105308043</v>
      </c>
      <c r="H32" s="177">
        <f>D32-F32</f>
        <v>2.8043517801788376E-2</v>
      </c>
      <c r="I32" s="177">
        <f>E32-G32</f>
        <v>1.889712682901834E-2</v>
      </c>
    </row>
    <row r="33" spans="1:9" ht="24" customHeight="1" thickBot="1">
      <c r="A33" s="95"/>
      <c r="B33" s="96"/>
      <c r="C33" s="21"/>
      <c r="D33" s="21"/>
      <c r="E33" s="21"/>
      <c r="F33" s="21"/>
      <c r="G33" s="21"/>
      <c r="H33" s="160"/>
      <c r="I33" s="161"/>
    </row>
    <row r="37" spans="1:9" ht="12.75" customHeight="1">
      <c r="A37" s="258" t="s">
        <v>234</v>
      </c>
      <c r="B37" s="258"/>
    </row>
    <row r="52" spans="4:8" ht="23.25">
      <c r="D52" s="110">
        <f>3+0.58+0.94</f>
        <v>4.5199999999999996</v>
      </c>
      <c r="E52" s="110">
        <v>30066980.798</v>
      </c>
      <c r="F52" s="86">
        <v>5786401.75</v>
      </c>
      <c r="G52" s="111">
        <v>9381444.3800000008</v>
      </c>
      <c r="H52" s="86">
        <v>87524122.379999995</v>
      </c>
    </row>
    <row r="53" spans="4:8" ht="23.25">
      <c r="D53" s="112"/>
      <c r="E53" s="112">
        <f>E52/10^7</f>
        <v>3.0066980798</v>
      </c>
      <c r="F53" s="112">
        <f t="shared" ref="F53:H53" si="6">F52/10^7</f>
        <v>0.57864017499999998</v>
      </c>
      <c r="G53" s="112">
        <f t="shared" si="6"/>
        <v>0.93814443800000014</v>
      </c>
      <c r="H53" s="112">
        <f t="shared" si="6"/>
        <v>8.7524122379999998</v>
      </c>
    </row>
    <row r="54" spans="4:8" ht="23.25">
      <c r="D54" s="112"/>
      <c r="E54" s="112"/>
    </row>
    <row r="55" spans="4:8" ht="23.25">
      <c r="D55" s="112"/>
      <c r="E55" s="112"/>
    </row>
    <row r="56" spans="4:8" ht="23.25">
      <c r="D56" s="112"/>
      <c r="E56" s="112"/>
    </row>
    <row r="57" spans="4:8" ht="23.25">
      <c r="D57" s="112"/>
      <c r="E57" s="112"/>
    </row>
    <row r="58" spans="4:8" ht="23.25">
      <c r="D58" s="112"/>
      <c r="E58" s="112"/>
    </row>
    <row r="59" spans="4:8" ht="23.25">
      <c r="D59" s="112"/>
      <c r="E59" s="112"/>
    </row>
    <row r="61" spans="4:8" ht="23.25">
      <c r="D61" s="112">
        <v>0.64</v>
      </c>
    </row>
    <row r="62" spans="4:8" ht="23.25">
      <c r="D62" s="112">
        <f>SUM(D59:D61)</f>
        <v>0.64</v>
      </c>
    </row>
  </sheetData>
  <mergeCells count="11">
    <mergeCell ref="F14:G14"/>
    <mergeCell ref="A5:I5"/>
    <mergeCell ref="A8:I8"/>
    <mergeCell ref="A10:I10"/>
    <mergeCell ref="A37:B37"/>
    <mergeCell ref="H12:I12"/>
    <mergeCell ref="H13:H14"/>
    <mergeCell ref="I13:I14"/>
    <mergeCell ref="D14:E14"/>
    <mergeCell ref="D12:E12"/>
    <mergeCell ref="F12:G12"/>
  </mergeCells>
  <phoneticPr fontId="1"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2:N68"/>
  <sheetViews>
    <sheetView view="pageBreakPreview" topLeftCell="A25" zoomScale="60" zoomScaleNormal="60" workbookViewId="0">
      <selection activeCell="F48" sqref="F48"/>
    </sheetView>
  </sheetViews>
  <sheetFormatPr defaultRowHeight="12.75"/>
  <cols>
    <col min="1" max="1" width="8" style="59" customWidth="1"/>
    <col min="2" max="2" width="77.5703125" style="59" customWidth="1"/>
    <col min="3" max="3" width="17" style="59" customWidth="1"/>
    <col min="4" max="4" width="24.42578125" style="59" customWidth="1"/>
    <col min="5" max="5" width="25.5703125" style="59" customWidth="1"/>
    <col min="6" max="6" width="23.85546875" style="59" customWidth="1"/>
    <col min="7" max="7" width="25.85546875" style="59" customWidth="1"/>
    <col min="8" max="8" width="19.42578125" style="59" customWidth="1"/>
    <col min="9" max="9" width="20.42578125" style="59" customWidth="1"/>
    <col min="10" max="12" width="9.140625" style="59"/>
    <col min="13" max="13" width="15.85546875" style="59" bestFit="1" customWidth="1"/>
    <col min="14" max="14" width="24.7109375" style="59" bestFit="1" customWidth="1"/>
    <col min="15" max="16384" width="9.140625" style="59"/>
  </cols>
  <sheetData>
    <row r="2" spans="1:9" ht="33">
      <c r="I2" s="60" t="s">
        <v>226</v>
      </c>
    </row>
    <row r="5" spans="1:9" ht="30">
      <c r="A5" s="276" t="s">
        <v>0</v>
      </c>
      <c r="B5" s="276"/>
      <c r="C5" s="276"/>
      <c r="D5" s="276"/>
      <c r="E5" s="276"/>
      <c r="F5" s="276"/>
      <c r="G5" s="276"/>
      <c r="H5" s="276"/>
      <c r="I5" s="276"/>
    </row>
    <row r="7" spans="1:9" ht="27.75">
      <c r="A7" s="285" t="s">
        <v>20</v>
      </c>
      <c r="B7" s="285"/>
      <c r="C7" s="285"/>
      <c r="D7" s="285"/>
      <c r="E7" s="285"/>
      <c r="F7" s="285"/>
      <c r="G7" s="285"/>
      <c r="H7" s="285"/>
      <c r="I7" s="285"/>
    </row>
    <row r="9" spans="1:9" ht="27.75">
      <c r="A9" s="285" t="s">
        <v>24</v>
      </c>
      <c r="B9" s="285"/>
      <c r="C9" s="285"/>
      <c r="D9" s="285"/>
      <c r="E9" s="285"/>
      <c r="F9" s="285"/>
      <c r="G9" s="285"/>
      <c r="H9" s="285"/>
      <c r="I9" s="285"/>
    </row>
    <row r="10" spans="1:9" ht="13.5" thickBot="1"/>
    <row r="11" spans="1:9" ht="21.6" customHeight="1">
      <c r="A11" s="61"/>
      <c r="B11" s="62"/>
      <c r="C11" s="62"/>
      <c r="D11" s="288" t="s">
        <v>16</v>
      </c>
      <c r="E11" s="288"/>
      <c r="F11" s="288" t="s">
        <v>67</v>
      </c>
      <c r="G11" s="288"/>
      <c r="H11" s="288" t="s">
        <v>17</v>
      </c>
      <c r="I11" s="289"/>
    </row>
    <row r="12" spans="1:9" ht="21.6" customHeight="1">
      <c r="A12" s="63"/>
      <c r="B12" s="55"/>
      <c r="C12" s="55"/>
      <c r="D12" s="55" t="s">
        <v>14</v>
      </c>
      <c r="E12" s="55" t="s">
        <v>15</v>
      </c>
      <c r="F12" s="55" t="s">
        <v>14</v>
      </c>
      <c r="G12" s="55" t="s">
        <v>15</v>
      </c>
      <c r="H12" s="290" t="s">
        <v>14</v>
      </c>
      <c r="I12" s="291" t="s">
        <v>15</v>
      </c>
    </row>
    <row r="13" spans="1:9" ht="21.6" customHeight="1">
      <c r="A13" s="63" t="s">
        <v>39</v>
      </c>
      <c r="B13" s="55" t="s">
        <v>101</v>
      </c>
      <c r="C13" s="55"/>
      <c r="D13" s="268" t="str">
        <f>+'SHEET-3'!D14:E14</f>
        <v>July-2019 to Sept-2019</v>
      </c>
      <c r="E13" s="268"/>
      <c r="F13" s="268" t="str">
        <f>+'SHEET-3'!F14:G14</f>
        <v>July-2018 to Sept-2018</v>
      </c>
      <c r="G13" s="268"/>
      <c r="H13" s="290"/>
      <c r="I13" s="291"/>
    </row>
    <row r="14" spans="1:9" ht="21.6" customHeight="1">
      <c r="A14" s="65">
        <v>1</v>
      </c>
      <c r="B14" s="66" t="s">
        <v>4</v>
      </c>
      <c r="C14" s="67" t="s">
        <v>82</v>
      </c>
      <c r="D14" s="237">
        <v>2274</v>
      </c>
      <c r="E14" s="237">
        <v>2274</v>
      </c>
      <c r="F14" s="231">
        <v>2069</v>
      </c>
      <c r="G14" s="231">
        <f>F14</f>
        <v>2069</v>
      </c>
      <c r="H14" s="162">
        <f>(D14-F14)/F14</f>
        <v>9.9081681971967137E-2</v>
      </c>
      <c r="I14" s="163">
        <f>(E14-G14)/G14</f>
        <v>9.9081681971967137E-2</v>
      </c>
    </row>
    <row r="15" spans="1:9" ht="21.6" customHeight="1">
      <c r="A15" s="65">
        <v>2</v>
      </c>
      <c r="B15" s="66" t="s">
        <v>102</v>
      </c>
      <c r="C15" s="67" t="s">
        <v>82</v>
      </c>
      <c r="D15" s="237">
        <v>0</v>
      </c>
      <c r="E15" s="237">
        <v>0</v>
      </c>
      <c r="F15" s="138">
        <v>0</v>
      </c>
      <c r="G15" s="138">
        <v>0</v>
      </c>
      <c r="H15" s="200" t="e">
        <f t="shared" ref="H15:H25" si="0">(D15-F15)/F15</f>
        <v>#DIV/0!</v>
      </c>
      <c r="I15" s="201" t="e">
        <f t="shared" ref="I15:I25" si="1">(E15-G15)/G15</f>
        <v>#DIV/0!</v>
      </c>
    </row>
    <row r="16" spans="1:9" ht="21.6" customHeight="1">
      <c r="A16" s="65">
        <v>3</v>
      </c>
      <c r="B16" s="66" t="s">
        <v>7</v>
      </c>
      <c r="C16" s="67" t="s">
        <v>82</v>
      </c>
      <c r="D16" s="237">
        <v>0</v>
      </c>
      <c r="E16" s="237">
        <v>0</v>
      </c>
      <c r="F16" s="138">
        <v>0</v>
      </c>
      <c r="G16" s="138">
        <v>0</v>
      </c>
      <c r="H16" s="162">
        <v>0</v>
      </c>
      <c r="I16" s="163">
        <v>0</v>
      </c>
    </row>
    <row r="17" spans="1:14" ht="24" customHeight="1">
      <c r="A17" s="65">
        <v>4</v>
      </c>
      <c r="B17" s="66" t="s">
        <v>8</v>
      </c>
      <c r="C17" s="67" t="s">
        <v>82</v>
      </c>
      <c r="D17" s="237">
        <v>2274</v>
      </c>
      <c r="E17" s="237">
        <v>2274</v>
      </c>
      <c r="F17" s="138">
        <f>SUM(F14:F16)</f>
        <v>2069</v>
      </c>
      <c r="G17" s="138">
        <f>SUM(G14:G16)</f>
        <v>2069</v>
      </c>
      <c r="H17" s="162">
        <f t="shared" si="0"/>
        <v>9.9081681971967137E-2</v>
      </c>
      <c r="I17" s="163">
        <f t="shared" si="1"/>
        <v>9.9081681971967137E-2</v>
      </c>
    </row>
    <row r="18" spans="1:14" ht="21.6" customHeight="1">
      <c r="A18" s="65">
        <v>5</v>
      </c>
      <c r="B18" s="66" t="s">
        <v>2</v>
      </c>
      <c r="C18" s="67" t="s">
        <v>82</v>
      </c>
      <c r="D18" s="237">
        <v>2667011</v>
      </c>
      <c r="E18" s="237">
        <v>2667011</v>
      </c>
      <c r="F18" s="231">
        <v>2601532</v>
      </c>
      <c r="G18" s="231">
        <f>F18</f>
        <v>2601532</v>
      </c>
      <c r="H18" s="162">
        <f t="shared" si="0"/>
        <v>2.5169400184199157E-2</v>
      </c>
      <c r="I18" s="163">
        <f t="shared" si="1"/>
        <v>2.5169400184199157E-2</v>
      </c>
    </row>
    <row r="19" spans="1:14" ht="21.6" customHeight="1">
      <c r="A19" s="65">
        <v>6</v>
      </c>
      <c r="B19" s="66" t="s">
        <v>3</v>
      </c>
      <c r="C19" s="67" t="s">
        <v>82</v>
      </c>
      <c r="D19" s="283">
        <v>350056</v>
      </c>
      <c r="E19" s="283">
        <v>350056</v>
      </c>
      <c r="F19" s="283">
        <f>24054+307570+0</f>
        <v>331624</v>
      </c>
      <c r="G19" s="283">
        <f>F19</f>
        <v>331624</v>
      </c>
      <c r="H19" s="286">
        <f t="shared" si="0"/>
        <v>5.558101946783104E-2</v>
      </c>
      <c r="I19" s="277">
        <f t="shared" si="1"/>
        <v>5.558101946783104E-2</v>
      </c>
      <c r="M19" s="68"/>
      <c r="N19" s="69"/>
    </row>
    <row r="20" spans="1:14" ht="21.6" customHeight="1">
      <c r="A20" s="65">
        <v>7</v>
      </c>
      <c r="B20" s="66" t="s">
        <v>1</v>
      </c>
      <c r="C20" s="67" t="s">
        <v>82</v>
      </c>
      <c r="D20" s="284"/>
      <c r="E20" s="284"/>
      <c r="F20" s="284"/>
      <c r="G20" s="284"/>
      <c r="H20" s="287"/>
      <c r="I20" s="278"/>
      <c r="M20" s="68"/>
      <c r="N20" s="69"/>
    </row>
    <row r="21" spans="1:14" ht="21.6" customHeight="1">
      <c r="A21" s="65">
        <v>8</v>
      </c>
      <c r="B21" s="66" t="s">
        <v>120</v>
      </c>
      <c r="C21" s="67" t="s">
        <v>82</v>
      </c>
      <c r="D21" s="237">
        <v>31445</v>
      </c>
      <c r="E21" s="237">
        <v>31445</v>
      </c>
      <c r="F21" s="231">
        <f>21142+7874</f>
        <v>29016</v>
      </c>
      <c r="G21" s="231">
        <f>F21</f>
        <v>29016</v>
      </c>
      <c r="H21" s="162">
        <f t="shared" si="0"/>
        <v>8.3712434518886131E-2</v>
      </c>
      <c r="I21" s="163">
        <f t="shared" si="1"/>
        <v>8.3712434518886131E-2</v>
      </c>
      <c r="M21" s="68"/>
      <c r="N21" s="69"/>
    </row>
    <row r="22" spans="1:14" ht="24" customHeight="1">
      <c r="A22" s="65">
        <v>9</v>
      </c>
      <c r="B22" s="66" t="s">
        <v>10</v>
      </c>
      <c r="C22" s="67" t="s">
        <v>82</v>
      </c>
      <c r="D22" s="237">
        <v>3048512</v>
      </c>
      <c r="E22" s="237">
        <v>3048512</v>
      </c>
      <c r="F22" s="138">
        <f>SUM(F18:F21)</f>
        <v>2962172</v>
      </c>
      <c r="G22" s="138">
        <f>SUM(G18:G21)</f>
        <v>2962172</v>
      </c>
      <c r="H22" s="162">
        <f t="shared" si="0"/>
        <v>2.9147530933382668E-2</v>
      </c>
      <c r="I22" s="163">
        <f t="shared" si="1"/>
        <v>2.9147530933382668E-2</v>
      </c>
    </row>
    <row r="23" spans="1:14" ht="21.6" customHeight="1">
      <c r="A23" s="65">
        <v>10</v>
      </c>
      <c r="B23" s="66" t="s">
        <v>5</v>
      </c>
      <c r="C23" s="67" t="s">
        <v>82</v>
      </c>
      <c r="D23" s="237">
        <v>171910</v>
      </c>
      <c r="E23" s="237">
        <v>171910</v>
      </c>
      <c r="F23" s="231">
        <f>156250+9</f>
        <v>156259</v>
      </c>
      <c r="G23" s="231">
        <f>F23</f>
        <v>156259</v>
      </c>
      <c r="H23" s="162">
        <f t="shared" si="0"/>
        <v>0.10016063074766894</v>
      </c>
      <c r="I23" s="163">
        <f t="shared" si="1"/>
        <v>0.10016063074766894</v>
      </c>
      <c r="M23" s="68"/>
      <c r="N23" s="69"/>
    </row>
    <row r="24" spans="1:14" ht="24" customHeight="1">
      <c r="A24" s="65">
        <v>11</v>
      </c>
      <c r="B24" s="66" t="s">
        <v>11</v>
      </c>
      <c r="C24" s="67" t="s">
        <v>82</v>
      </c>
      <c r="D24" s="237">
        <v>3220422</v>
      </c>
      <c r="E24" s="237">
        <v>3220422</v>
      </c>
      <c r="F24" s="138">
        <f>F22+F23</f>
        <v>3118431</v>
      </c>
      <c r="G24" s="138">
        <f>G22+G23</f>
        <v>3118431</v>
      </c>
      <c r="H24" s="162">
        <f t="shared" si="0"/>
        <v>3.2705870355957851E-2</v>
      </c>
      <c r="I24" s="163">
        <f t="shared" si="1"/>
        <v>3.2705870355957851E-2</v>
      </c>
      <c r="M24" s="68"/>
      <c r="N24" s="69"/>
    </row>
    <row r="25" spans="1:14" ht="31.5" customHeight="1" thickBot="1">
      <c r="A25" s="70">
        <v>12</v>
      </c>
      <c r="B25" s="71" t="s">
        <v>105</v>
      </c>
      <c r="C25" s="72" t="s">
        <v>82</v>
      </c>
      <c r="D25" s="236">
        <v>3222696</v>
      </c>
      <c r="E25" s="236">
        <v>3222696</v>
      </c>
      <c r="F25" s="23">
        <f>F17+F24</f>
        <v>3120500</v>
      </c>
      <c r="G25" s="23">
        <f>G17+G24</f>
        <v>3120500</v>
      </c>
      <c r="H25" s="164">
        <f t="shared" si="0"/>
        <v>3.2749879826950809E-2</v>
      </c>
      <c r="I25" s="165">
        <f t="shared" si="1"/>
        <v>3.2749879826950809E-2</v>
      </c>
      <c r="M25" s="68"/>
      <c r="N25" s="69"/>
    </row>
    <row r="26" spans="1:14" ht="12" customHeight="1">
      <c r="A26" s="115"/>
      <c r="B26" s="116"/>
      <c r="C26" s="117"/>
      <c r="D26" s="118"/>
      <c r="E26" s="118"/>
      <c r="F26" s="118"/>
      <c r="G26" s="118"/>
      <c r="H26" s="158"/>
      <c r="I26" s="159"/>
    </row>
    <row r="27" spans="1:14" ht="28.5" customHeight="1">
      <c r="A27" s="119" t="s">
        <v>6</v>
      </c>
      <c r="B27" s="113" t="s">
        <v>45</v>
      </c>
      <c r="C27" s="117"/>
      <c r="D27" s="118"/>
      <c r="E27" s="118"/>
      <c r="F27" s="118"/>
      <c r="G27" s="118"/>
      <c r="H27" s="158"/>
      <c r="I27" s="159"/>
    </row>
    <row r="28" spans="1:14" ht="12" customHeight="1" thickBot="1">
      <c r="A28" s="115"/>
      <c r="B28" s="116"/>
      <c r="C28" s="117"/>
      <c r="D28" s="118"/>
      <c r="E28" s="118"/>
      <c r="F28" s="118"/>
      <c r="G28" s="118"/>
      <c r="H28" s="158"/>
      <c r="I28" s="159"/>
    </row>
    <row r="29" spans="1:14" ht="21.6" customHeight="1">
      <c r="A29" s="77">
        <v>1</v>
      </c>
      <c r="B29" s="78" t="s">
        <v>4</v>
      </c>
      <c r="C29" s="120" t="s">
        <v>23</v>
      </c>
      <c r="D29" s="191">
        <f>+E29-1042.87</f>
        <v>998.03621454032282</v>
      </c>
      <c r="E29" s="57">
        <v>2040.9062145403227</v>
      </c>
      <c r="F29" s="191">
        <f>1027.665-30</f>
        <v>997.66499999999996</v>
      </c>
      <c r="G29" s="57">
        <v>2038.845</v>
      </c>
      <c r="H29" s="189">
        <f>(D29-F29)/F29</f>
        <v>3.7208335495667711E-4</v>
      </c>
      <c r="I29" s="190">
        <f>(E29-G29)/G29</f>
        <v>1.0109716728454985E-3</v>
      </c>
    </row>
    <row r="30" spans="1:14" ht="21.6" customHeight="1">
      <c r="A30" s="65">
        <v>2</v>
      </c>
      <c r="B30" s="66" t="s">
        <v>102</v>
      </c>
      <c r="C30" s="67" t="s">
        <v>23</v>
      </c>
      <c r="D30" s="192">
        <v>0</v>
      </c>
      <c r="E30" s="174">
        <f>+D30</f>
        <v>0</v>
      </c>
      <c r="F30" s="210">
        <f>+G30-0</f>
        <v>0</v>
      </c>
      <c r="G30" s="210">
        <v>0</v>
      </c>
      <c r="H30" s="200" t="e">
        <f t="shared" ref="H30:H40" si="2">(D30-F30)/F30</f>
        <v>#DIV/0!</v>
      </c>
      <c r="I30" s="201" t="e">
        <f t="shared" ref="I30:I40" si="3">(E30-G30)/G30</f>
        <v>#DIV/0!</v>
      </c>
    </row>
    <row r="31" spans="1:14" ht="21.6" customHeight="1">
      <c r="A31" s="65">
        <v>3</v>
      </c>
      <c r="B31" s="66" t="s">
        <v>7</v>
      </c>
      <c r="C31" s="67" t="s">
        <v>23</v>
      </c>
      <c r="D31" s="192">
        <v>0</v>
      </c>
      <c r="E31" s="174">
        <v>0</v>
      </c>
      <c r="F31" s="210">
        <f>+G31-0</f>
        <v>0</v>
      </c>
      <c r="G31" s="210">
        <v>0</v>
      </c>
      <c r="H31" s="162">
        <v>0</v>
      </c>
      <c r="I31" s="163">
        <v>0</v>
      </c>
    </row>
    <row r="32" spans="1:14" ht="24" customHeight="1">
      <c r="A32" s="65">
        <v>4</v>
      </c>
      <c r="B32" s="66" t="s">
        <v>8</v>
      </c>
      <c r="C32" s="67" t="s">
        <v>23</v>
      </c>
      <c r="D32" s="192">
        <f>D29+D30</f>
        <v>998.03621454032282</v>
      </c>
      <c r="E32" s="174">
        <f>E29+E30</f>
        <v>2040.9062145403227</v>
      </c>
      <c r="F32" s="210">
        <f>SUM(F29:F31)</f>
        <v>997.66499999999996</v>
      </c>
      <c r="G32" s="210">
        <f>SUM(G29:G31)</f>
        <v>2038.845</v>
      </c>
      <c r="H32" s="162">
        <f t="shared" si="2"/>
        <v>3.7208335495667711E-4</v>
      </c>
      <c r="I32" s="163">
        <f t="shared" si="3"/>
        <v>1.0109716728454985E-3</v>
      </c>
      <c r="M32" s="68"/>
      <c r="N32" s="69"/>
    </row>
    <row r="33" spans="1:14" ht="21.6" customHeight="1">
      <c r="A33" s="65">
        <v>5</v>
      </c>
      <c r="B33" s="66" t="s">
        <v>2</v>
      </c>
      <c r="C33" s="67" t="s">
        <v>23</v>
      </c>
      <c r="D33" s="192">
        <f>+E33-867.77</f>
        <v>807.33133700000008</v>
      </c>
      <c r="E33" s="174">
        <v>1675.1013370000001</v>
      </c>
      <c r="F33" s="192">
        <f>859.127-68</f>
        <v>791.12699999999995</v>
      </c>
      <c r="G33" s="229">
        <v>1569.1</v>
      </c>
      <c r="H33" s="162">
        <f t="shared" si="2"/>
        <v>2.0482598874769949E-2</v>
      </c>
      <c r="I33" s="163">
        <f t="shared" si="3"/>
        <v>6.7555501242750726E-2</v>
      </c>
      <c r="M33" s="68"/>
      <c r="N33" s="69"/>
    </row>
    <row r="34" spans="1:14" ht="21.6" customHeight="1">
      <c r="A34" s="65">
        <v>6</v>
      </c>
      <c r="B34" s="66" t="s">
        <v>3</v>
      </c>
      <c r="C34" s="67" t="s">
        <v>23</v>
      </c>
      <c r="D34" s="279">
        <f>+E34-513.486</f>
        <v>419.74699999999996</v>
      </c>
      <c r="E34" s="255">
        <v>933.23299999999995</v>
      </c>
      <c r="F34" s="279">
        <f>475.217-70</f>
        <v>405.21699999999998</v>
      </c>
      <c r="G34" s="255">
        <f>36.953+850.181</f>
        <v>887.13400000000001</v>
      </c>
      <c r="H34" s="281">
        <f t="shared" si="2"/>
        <v>3.5857330763516763E-2</v>
      </c>
      <c r="I34" s="277">
        <f t="shared" si="3"/>
        <v>5.196396485762008E-2</v>
      </c>
      <c r="M34" s="68"/>
      <c r="N34" s="69"/>
    </row>
    <row r="35" spans="1:14" ht="21.6" customHeight="1">
      <c r="A35" s="65">
        <v>7</v>
      </c>
      <c r="B35" s="66" t="s">
        <v>1</v>
      </c>
      <c r="C35" s="67" t="s">
        <v>23</v>
      </c>
      <c r="D35" s="280"/>
      <c r="E35" s="256"/>
      <c r="F35" s="280"/>
      <c r="G35" s="256"/>
      <c r="H35" s="282"/>
      <c r="I35" s="278"/>
    </row>
    <row r="36" spans="1:14" ht="21.6" customHeight="1">
      <c r="A36" s="65">
        <v>8</v>
      </c>
      <c r="B36" s="66" t="s">
        <v>120</v>
      </c>
      <c r="C36" s="67" t="s">
        <v>23</v>
      </c>
      <c r="D36" s="192">
        <f>+E36-108.199</f>
        <v>92.820000000000007</v>
      </c>
      <c r="E36" s="174">
        <v>201.01900000000001</v>
      </c>
      <c r="F36" s="192">
        <f>85.258+15.574+2.792-15</f>
        <v>88.623999999999995</v>
      </c>
      <c r="G36" s="229">
        <f>5.164+156.69+29.481</f>
        <v>191.33499999999998</v>
      </c>
      <c r="H36" s="162">
        <f t="shared" si="2"/>
        <v>4.7346091352229787E-2</v>
      </c>
      <c r="I36" s="163">
        <f t="shared" si="3"/>
        <v>5.0612799540073833E-2</v>
      </c>
    </row>
    <row r="37" spans="1:14" ht="24" customHeight="1">
      <c r="A37" s="65">
        <v>9</v>
      </c>
      <c r="B37" s="66" t="s">
        <v>10</v>
      </c>
      <c r="C37" s="67" t="s">
        <v>23</v>
      </c>
      <c r="D37" s="192">
        <f>SUM(D33:D36)</f>
        <v>1319.8983369999999</v>
      </c>
      <c r="E37" s="174">
        <f>SUM(E33:E36)</f>
        <v>2809.3533370000005</v>
      </c>
      <c r="F37" s="210">
        <f>SUM(F33:F36)</f>
        <v>1284.9680000000001</v>
      </c>
      <c r="G37" s="210">
        <f>SUM(G33:G36)</f>
        <v>2647.569</v>
      </c>
      <c r="H37" s="162">
        <f t="shared" si="2"/>
        <v>2.718381858536538E-2</v>
      </c>
      <c r="I37" s="163">
        <f t="shared" si="3"/>
        <v>6.1106750003493963E-2</v>
      </c>
      <c r="M37" s="68"/>
      <c r="N37" s="69"/>
    </row>
    <row r="38" spans="1:14" ht="21.6" customHeight="1">
      <c r="A38" s="65">
        <v>10</v>
      </c>
      <c r="B38" s="66" t="s">
        <v>103</v>
      </c>
      <c r="C38" s="67" t="s">
        <v>23</v>
      </c>
      <c r="D38" s="192">
        <f>+E38-379.55</f>
        <v>152.99499999999995</v>
      </c>
      <c r="E38" s="174">
        <v>532.54499999999996</v>
      </c>
      <c r="F38" s="192">
        <f>213.834+136.84-190</f>
        <v>160.67399999999998</v>
      </c>
      <c r="G38" s="229">
        <f>346.471+204.32</f>
        <v>550.79099999999994</v>
      </c>
      <c r="H38" s="162">
        <f t="shared" si="2"/>
        <v>-4.7792424412163956E-2</v>
      </c>
      <c r="I38" s="163">
        <f t="shared" si="3"/>
        <v>-3.3126902945037194E-2</v>
      </c>
      <c r="M38" s="68"/>
      <c r="N38" s="69"/>
    </row>
    <row r="39" spans="1:14" ht="24" customHeight="1">
      <c r="A39" s="65">
        <v>11</v>
      </c>
      <c r="B39" s="66" t="s">
        <v>11</v>
      </c>
      <c r="C39" s="67" t="s">
        <v>23</v>
      </c>
      <c r="D39" s="192">
        <f>SUM(D37:D38)</f>
        <v>1472.8933369999997</v>
      </c>
      <c r="E39" s="174">
        <f>SUM(E37:E38)</f>
        <v>3341.8983370000005</v>
      </c>
      <c r="F39" s="210">
        <f>SUM(F37:F38)</f>
        <v>1445.6420000000001</v>
      </c>
      <c r="G39" s="210">
        <f>SUM(G37:G38)</f>
        <v>3198.3599999999997</v>
      </c>
      <c r="H39" s="162">
        <f t="shared" si="2"/>
        <v>1.8850681565698624E-2</v>
      </c>
      <c r="I39" s="163">
        <f t="shared" si="3"/>
        <v>4.487873066196453E-2</v>
      </c>
      <c r="M39" s="68"/>
      <c r="N39" s="69"/>
    </row>
    <row r="40" spans="1:14" ht="31.5" customHeight="1" thickBot="1">
      <c r="A40" s="70">
        <v>12</v>
      </c>
      <c r="B40" s="71" t="s">
        <v>12</v>
      </c>
      <c r="C40" s="72" t="s">
        <v>23</v>
      </c>
      <c r="D40" s="193">
        <f>D32+D39</f>
        <v>2470.9295515403228</v>
      </c>
      <c r="E40" s="58">
        <f>E32+E39</f>
        <v>5382.8045515403228</v>
      </c>
      <c r="F40" s="103">
        <f>F32+F39</f>
        <v>2443.3069999999998</v>
      </c>
      <c r="G40" s="103">
        <f>G32+G39</f>
        <v>5237.2049999999999</v>
      </c>
      <c r="H40" s="164">
        <f t="shared" si="2"/>
        <v>1.1305395327039542E-2</v>
      </c>
      <c r="I40" s="165">
        <f t="shared" si="3"/>
        <v>2.7801002928150201E-2</v>
      </c>
    </row>
    <row r="41" spans="1:14">
      <c r="D41" s="139"/>
      <c r="E41" s="139"/>
      <c r="H41" s="139"/>
      <c r="I41" s="139"/>
    </row>
    <row r="43" spans="1:14" ht="12.75" customHeight="1">
      <c r="A43" s="258" t="s">
        <v>234</v>
      </c>
      <c r="B43" s="258"/>
    </row>
    <row r="52" spans="4:6" ht="23.25">
      <c r="D52" s="121">
        <v>1639.71</v>
      </c>
      <c r="E52" s="121">
        <v>5096.3599999999997</v>
      </c>
    </row>
    <row r="57" spans="4:6" ht="26.25">
      <c r="D57" s="84">
        <v>335.74</v>
      </c>
      <c r="E57" s="84">
        <v>335.74</v>
      </c>
      <c r="F57" s="122">
        <f>D40-D52</f>
        <v>831.21955154032275</v>
      </c>
    </row>
    <row r="58" spans="4:6" ht="26.25">
      <c r="D58" s="84">
        <v>346.72</v>
      </c>
      <c r="E58" s="84">
        <v>346.72</v>
      </c>
      <c r="F58" s="122">
        <f>E40-E52</f>
        <v>286.44455154032312</v>
      </c>
    </row>
    <row r="59" spans="4:6" ht="26.25">
      <c r="D59" s="84">
        <f>SUM(D57:D58)</f>
        <v>682.46</v>
      </c>
      <c r="E59" s="84">
        <f>SUM(E57:E58)</f>
        <v>682.46</v>
      </c>
    </row>
    <row r="64" spans="4:6" ht="20.100000000000001" customHeight="1">
      <c r="D64" s="123" t="s">
        <v>220</v>
      </c>
      <c r="E64" s="123" t="s">
        <v>221</v>
      </c>
    </row>
    <row r="65" spans="3:6" ht="20.100000000000001" customHeight="1">
      <c r="C65" s="124" t="s">
        <v>222</v>
      </c>
      <c r="D65" s="125">
        <v>153.19999999999999</v>
      </c>
      <c r="E65" s="125">
        <v>171.66</v>
      </c>
      <c r="F65" s="126">
        <f>(D65-E65)/E65</f>
        <v>-0.1075381568216242</v>
      </c>
    </row>
    <row r="66" spans="3:6" ht="20.100000000000001" customHeight="1">
      <c r="C66" s="124" t="s">
        <v>223</v>
      </c>
      <c r="D66" s="125">
        <v>136.37</v>
      </c>
      <c r="E66" s="125">
        <v>136.62</v>
      </c>
      <c r="F66" s="126">
        <f>(D66-E66)/E66</f>
        <v>-1.8298931342409603E-3</v>
      </c>
    </row>
    <row r="67" spans="3:6" ht="20.100000000000001" customHeight="1">
      <c r="C67" s="124"/>
      <c r="D67" s="125">
        <f>SUM(D65:D66)</f>
        <v>289.57</v>
      </c>
      <c r="E67" s="125">
        <f>SUM(E65:E66)</f>
        <v>308.27999999999997</v>
      </c>
      <c r="F67" s="126">
        <f>(D67-E67)/E67</f>
        <v>-6.0691579083949593E-2</v>
      </c>
    </row>
    <row r="68" spans="3:6" ht="20.100000000000001" customHeight="1"/>
  </sheetData>
  <mergeCells count="23">
    <mergeCell ref="A43:B43"/>
    <mergeCell ref="H11:I11"/>
    <mergeCell ref="H12:H13"/>
    <mergeCell ref="I12:I13"/>
    <mergeCell ref="D13:E13"/>
    <mergeCell ref="D11:E11"/>
    <mergeCell ref="E19:E20"/>
    <mergeCell ref="D19:D20"/>
    <mergeCell ref="A5:I5"/>
    <mergeCell ref="I19:I20"/>
    <mergeCell ref="D34:D35"/>
    <mergeCell ref="E34:E35"/>
    <mergeCell ref="H34:H35"/>
    <mergeCell ref="I34:I35"/>
    <mergeCell ref="G34:G35"/>
    <mergeCell ref="F19:F20"/>
    <mergeCell ref="G19:G20"/>
    <mergeCell ref="A9:I9"/>
    <mergeCell ref="A7:I7"/>
    <mergeCell ref="F34:F35"/>
    <mergeCell ref="H19:H20"/>
    <mergeCell ref="F11:G11"/>
    <mergeCell ref="F13:G13"/>
  </mergeCells>
  <phoneticPr fontId="1"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R57"/>
  <sheetViews>
    <sheetView view="pageBreakPreview" topLeftCell="A4" zoomScale="60" zoomScaleNormal="50" workbookViewId="0">
      <selection activeCell="E32" sqref="E32"/>
    </sheetView>
  </sheetViews>
  <sheetFormatPr defaultRowHeight="12.75"/>
  <cols>
    <col min="1" max="1" width="8" style="59" customWidth="1"/>
    <col min="2" max="2" width="80.140625" style="59" customWidth="1"/>
    <col min="3" max="3" width="23.28515625" style="59" customWidth="1"/>
    <col min="4" max="4" width="22.42578125" style="59" customWidth="1"/>
    <col min="5" max="5" width="23.28515625" style="59" customWidth="1"/>
    <col min="6" max="6" width="23.85546875" style="59" customWidth="1"/>
    <col min="7" max="7" width="23.42578125" style="59" customWidth="1"/>
    <col min="8" max="8" width="19.28515625" style="59" bestFit="1" customWidth="1"/>
    <col min="9" max="9" width="21" style="59" customWidth="1"/>
    <col min="10" max="13" width="9.140625" style="59"/>
    <col min="14" max="14" width="27.42578125" style="59" customWidth="1"/>
    <col min="15" max="15" width="24.5703125" style="59" customWidth="1"/>
    <col min="16" max="16" width="33.7109375" style="59" bestFit="1" customWidth="1"/>
    <col min="17" max="17" width="9.140625" style="59"/>
    <col min="18" max="18" width="33.42578125" style="59" customWidth="1"/>
    <col min="19" max="16384" width="9.140625" style="59"/>
  </cols>
  <sheetData>
    <row r="2" spans="1:9" ht="33">
      <c r="I2" s="60" t="s">
        <v>22</v>
      </c>
    </row>
    <row r="5" spans="1:9" ht="30">
      <c r="A5" s="276" t="s">
        <v>0</v>
      </c>
      <c r="B5" s="276"/>
      <c r="C5" s="276"/>
      <c r="D5" s="276"/>
      <c r="E5" s="276"/>
      <c r="F5" s="276"/>
      <c r="G5" s="276"/>
      <c r="H5" s="276"/>
      <c r="I5" s="276"/>
    </row>
    <row r="7" spans="1:9" ht="27.75">
      <c r="A7" s="285" t="s">
        <v>20</v>
      </c>
      <c r="B7" s="285"/>
      <c r="C7" s="285"/>
      <c r="D7" s="285"/>
      <c r="E7" s="285"/>
      <c r="F7" s="285"/>
      <c r="G7" s="285"/>
      <c r="H7" s="285"/>
      <c r="I7" s="285"/>
    </row>
    <row r="9" spans="1:9" ht="27.75">
      <c r="A9" s="285" t="s">
        <v>19</v>
      </c>
      <c r="B9" s="285"/>
      <c r="C9" s="285"/>
      <c r="D9" s="285"/>
      <c r="E9" s="285"/>
      <c r="F9" s="285"/>
      <c r="G9" s="285"/>
      <c r="H9" s="285"/>
      <c r="I9" s="285"/>
    </row>
    <row r="10" spans="1:9" ht="13.5" thickBot="1"/>
    <row r="11" spans="1:9" ht="21.6" customHeight="1">
      <c r="A11" s="61"/>
      <c r="B11" s="62"/>
      <c r="C11" s="62"/>
      <c r="D11" s="288" t="s">
        <v>16</v>
      </c>
      <c r="E11" s="288"/>
      <c r="F11" s="288" t="s">
        <v>84</v>
      </c>
      <c r="G11" s="288"/>
      <c r="H11" s="288" t="s">
        <v>17</v>
      </c>
      <c r="I11" s="289"/>
    </row>
    <row r="12" spans="1:9" ht="21.6" customHeight="1">
      <c r="A12" s="63"/>
      <c r="B12" s="55"/>
      <c r="C12" s="55"/>
      <c r="D12" s="55" t="s">
        <v>14</v>
      </c>
      <c r="E12" s="55" t="s">
        <v>15</v>
      </c>
      <c r="F12" s="55" t="s">
        <v>14</v>
      </c>
      <c r="G12" s="55" t="s">
        <v>15</v>
      </c>
      <c r="H12" s="290" t="s">
        <v>14</v>
      </c>
      <c r="I12" s="291" t="s">
        <v>15</v>
      </c>
    </row>
    <row r="13" spans="1:9" ht="21.6" customHeight="1">
      <c r="A13" s="63" t="s">
        <v>46</v>
      </c>
      <c r="B13" s="64" t="s">
        <v>122</v>
      </c>
      <c r="C13" s="55"/>
      <c r="D13" s="268" t="str">
        <f>+'SHEET-4'!D13:E13</f>
        <v>July-2019 to Sept-2019</v>
      </c>
      <c r="E13" s="268"/>
      <c r="F13" s="268" t="str">
        <f>+'SHEET-4'!F13:G13</f>
        <v>July-2018 to Sept-2018</v>
      </c>
      <c r="G13" s="268"/>
      <c r="H13" s="290"/>
      <c r="I13" s="291"/>
    </row>
    <row r="14" spans="1:9" ht="21.6" customHeight="1">
      <c r="A14" s="65">
        <v>1</v>
      </c>
      <c r="B14" s="66" t="s">
        <v>4</v>
      </c>
      <c r="C14" s="67" t="s">
        <v>13</v>
      </c>
      <c r="D14" s="174">
        <f>+E14-734.47</f>
        <v>740.14999999999986</v>
      </c>
      <c r="E14" s="174">
        <v>1474.62</v>
      </c>
      <c r="F14" s="229">
        <v>693.23</v>
      </c>
      <c r="G14" s="229">
        <v>1374.27</v>
      </c>
      <c r="H14" s="162">
        <f>(D14-F14)/F14</f>
        <v>6.7683164317758671E-2</v>
      </c>
      <c r="I14" s="163">
        <f>(E14-G14)/G14</f>
        <v>7.3020585474470018E-2</v>
      </c>
    </row>
    <row r="15" spans="1:9" ht="21.6" customHeight="1">
      <c r="A15" s="65">
        <v>2</v>
      </c>
      <c r="B15" s="66" t="s">
        <v>83</v>
      </c>
      <c r="C15" s="67" t="s">
        <v>13</v>
      </c>
      <c r="D15" s="174">
        <v>0</v>
      </c>
      <c r="E15" s="174">
        <v>0</v>
      </c>
      <c r="F15" s="210">
        <v>0</v>
      </c>
      <c r="G15" s="210">
        <v>0</v>
      </c>
      <c r="H15" s="200" t="e">
        <f t="shared" ref="H15:I25" si="0">(D15-F15)/F15</f>
        <v>#DIV/0!</v>
      </c>
      <c r="I15" s="201" t="e">
        <f t="shared" si="0"/>
        <v>#DIV/0!</v>
      </c>
    </row>
    <row r="16" spans="1:9" ht="21.6" customHeight="1">
      <c r="A16" s="65">
        <v>3</v>
      </c>
      <c r="B16" s="66" t="s">
        <v>7</v>
      </c>
      <c r="C16" s="67" t="s">
        <v>13</v>
      </c>
      <c r="D16" s="174">
        <v>0</v>
      </c>
      <c r="E16" s="174">
        <v>0</v>
      </c>
      <c r="F16" s="210">
        <v>0</v>
      </c>
      <c r="G16" s="210">
        <v>0</v>
      </c>
      <c r="H16" s="162">
        <v>0</v>
      </c>
      <c r="I16" s="163">
        <v>0</v>
      </c>
    </row>
    <row r="17" spans="1:18" ht="24" customHeight="1">
      <c r="A17" s="65">
        <v>4</v>
      </c>
      <c r="B17" s="66" t="s">
        <v>8</v>
      </c>
      <c r="C17" s="67" t="s">
        <v>13</v>
      </c>
      <c r="D17" s="174">
        <f>SUM(D14:D16)</f>
        <v>740.14999999999986</v>
      </c>
      <c r="E17" s="174">
        <f>SUM(E14:E16)</f>
        <v>1474.62</v>
      </c>
      <c r="F17" s="210">
        <f>SUM(F14:F16)</f>
        <v>693.23</v>
      </c>
      <c r="G17" s="210">
        <f>SUM(G14:G16)</f>
        <v>1374.27</v>
      </c>
      <c r="H17" s="162">
        <f t="shared" si="0"/>
        <v>6.7683164317758671E-2</v>
      </c>
      <c r="I17" s="163">
        <f t="shared" si="0"/>
        <v>7.3020585474470018E-2</v>
      </c>
    </row>
    <row r="18" spans="1:18" ht="21.6" customHeight="1">
      <c r="A18" s="65">
        <v>5</v>
      </c>
      <c r="B18" s="66" t="s">
        <v>2</v>
      </c>
      <c r="C18" s="67" t="s">
        <v>13</v>
      </c>
      <c r="D18" s="174">
        <f>+E18-499.33</f>
        <v>466.04515917550003</v>
      </c>
      <c r="E18" s="174">
        <f>96537.51591755/100</f>
        <v>965.37515917550002</v>
      </c>
      <c r="F18" s="229">
        <f>470.9-40</f>
        <v>430.9</v>
      </c>
      <c r="G18" s="229">
        <v>841.91</v>
      </c>
      <c r="H18" s="162">
        <f t="shared" si="0"/>
        <v>8.1562216698770146E-2</v>
      </c>
      <c r="I18" s="163">
        <f t="shared" si="0"/>
        <v>0.14664888073012561</v>
      </c>
      <c r="O18" s="68"/>
      <c r="P18" s="69"/>
    </row>
    <row r="19" spans="1:18" ht="21.6" customHeight="1">
      <c r="A19" s="65">
        <v>6</v>
      </c>
      <c r="B19" s="66" t="s">
        <v>3</v>
      </c>
      <c r="C19" s="67" t="s">
        <v>13</v>
      </c>
      <c r="D19" s="255">
        <f>+E19-369.45</f>
        <v>314.72050000000007</v>
      </c>
      <c r="E19" s="255">
        <f>68417.05/100</f>
        <v>684.17050000000006</v>
      </c>
      <c r="F19" s="255">
        <f>10.35+328.67-40</f>
        <v>299.02000000000004</v>
      </c>
      <c r="G19" s="255">
        <f>21.54+591.14</f>
        <v>612.67999999999995</v>
      </c>
      <c r="H19" s="286">
        <f t="shared" si="0"/>
        <v>5.2506521302922986E-2</v>
      </c>
      <c r="I19" s="277">
        <f t="shared" si="0"/>
        <v>0.11668489260299034</v>
      </c>
      <c r="O19" s="68"/>
      <c r="P19" s="69"/>
    </row>
    <row r="20" spans="1:18" ht="21.6" customHeight="1">
      <c r="A20" s="65">
        <v>7</v>
      </c>
      <c r="B20" s="66" t="s">
        <v>1</v>
      </c>
      <c r="C20" s="67" t="s">
        <v>13</v>
      </c>
      <c r="D20" s="256"/>
      <c r="E20" s="256"/>
      <c r="F20" s="256"/>
      <c r="G20" s="256"/>
      <c r="H20" s="287"/>
      <c r="I20" s="278"/>
      <c r="O20" s="68"/>
      <c r="P20" s="69"/>
    </row>
    <row r="21" spans="1:18" ht="21.6" customHeight="1">
      <c r="A21" s="65">
        <v>8</v>
      </c>
      <c r="B21" s="66" t="s">
        <v>120</v>
      </c>
      <c r="C21" s="67" t="s">
        <v>13</v>
      </c>
      <c r="D21" s="174">
        <f>+E21-62.23</f>
        <v>55.213600000000007</v>
      </c>
      <c r="E21" s="174">
        <f>11744.36/100</f>
        <v>117.4436</v>
      </c>
      <c r="F21" s="229">
        <v>48.6</v>
      </c>
      <c r="G21" s="229">
        <f>16.56+71.44</f>
        <v>88</v>
      </c>
      <c r="H21" s="162">
        <f t="shared" si="0"/>
        <v>0.13608230452674908</v>
      </c>
      <c r="I21" s="163">
        <f t="shared" si="0"/>
        <v>0.33458636363636368</v>
      </c>
    </row>
    <row r="22" spans="1:18" ht="24" customHeight="1">
      <c r="A22" s="65">
        <v>9</v>
      </c>
      <c r="B22" s="66" t="s">
        <v>10</v>
      </c>
      <c r="C22" s="67" t="s">
        <v>13</v>
      </c>
      <c r="D22" s="174">
        <f>SUM(D18:D21)</f>
        <v>835.97925917550015</v>
      </c>
      <c r="E22" s="174">
        <f>SUM(E18:E21)</f>
        <v>1766.9892591755001</v>
      </c>
      <c r="F22" s="210">
        <f>SUM(F18:F21)</f>
        <v>778.5200000000001</v>
      </c>
      <c r="G22" s="210">
        <f>SUM(G18:G21)</f>
        <v>1542.59</v>
      </c>
      <c r="H22" s="162">
        <f t="shared" si="0"/>
        <v>7.3805758587448034E-2</v>
      </c>
      <c r="I22" s="163">
        <f t="shared" si="0"/>
        <v>0.14546915199469737</v>
      </c>
      <c r="O22" s="68"/>
      <c r="P22" s="69"/>
    </row>
    <row r="23" spans="1:18" ht="21.6" customHeight="1">
      <c r="A23" s="65">
        <v>10</v>
      </c>
      <c r="B23" s="66" t="s">
        <v>109</v>
      </c>
      <c r="C23" s="67" t="s">
        <v>13</v>
      </c>
      <c r="D23" s="174">
        <f>+E23-111.64</f>
        <v>68.926399999999987</v>
      </c>
      <c r="E23" s="174">
        <f>18056.64/100</f>
        <v>180.56639999999999</v>
      </c>
      <c r="F23" s="229">
        <f>22.77+43.61</f>
        <v>66.38</v>
      </c>
      <c r="G23" s="229">
        <f>45.93+72.45+50</f>
        <v>168.38</v>
      </c>
      <c r="H23" s="162">
        <f t="shared" si="0"/>
        <v>3.8360952094004093E-2</v>
      </c>
      <c r="I23" s="163">
        <f t="shared" si="0"/>
        <v>7.2374391257869056E-2</v>
      </c>
      <c r="O23" s="68"/>
      <c r="P23" s="69"/>
    </row>
    <row r="24" spans="1:18" ht="24" customHeight="1">
      <c r="A24" s="65">
        <v>11</v>
      </c>
      <c r="B24" s="66" t="s">
        <v>11</v>
      </c>
      <c r="C24" s="67" t="s">
        <v>13</v>
      </c>
      <c r="D24" s="174">
        <f>SUM(D22:D23)</f>
        <v>904.90565917550009</v>
      </c>
      <c r="E24" s="229">
        <f>SUM(E22:E23)</f>
        <v>1947.5556591755001</v>
      </c>
      <c r="F24" s="210">
        <f>SUM(F22:F23)</f>
        <v>844.90000000000009</v>
      </c>
      <c r="G24" s="210">
        <f>SUM(G22:G23)</f>
        <v>1710.9699999999998</v>
      </c>
      <c r="H24" s="162">
        <f t="shared" si="0"/>
        <v>7.1021019263226404E-2</v>
      </c>
      <c r="I24" s="163">
        <f t="shared" si="0"/>
        <v>0.13827574953126021</v>
      </c>
      <c r="O24" s="68"/>
      <c r="P24" s="69"/>
    </row>
    <row r="25" spans="1:18" ht="31.5" customHeight="1" thickBot="1">
      <c r="A25" s="70">
        <v>12</v>
      </c>
      <c r="B25" s="71" t="s">
        <v>12</v>
      </c>
      <c r="C25" s="72" t="s">
        <v>13</v>
      </c>
      <c r="D25" s="58">
        <f>D17+D24</f>
        <v>1645.0556591754998</v>
      </c>
      <c r="E25" s="58">
        <f>E17+E24</f>
        <v>3422.1756591755002</v>
      </c>
      <c r="F25" s="103">
        <f>F17+F24</f>
        <v>1538.13</v>
      </c>
      <c r="G25" s="103">
        <f>G17+G24</f>
        <v>3085.24</v>
      </c>
      <c r="H25" s="164">
        <f t="shared" si="0"/>
        <v>6.9516659304154862E-2</v>
      </c>
      <c r="I25" s="165">
        <f t="shared" si="0"/>
        <v>0.10920889758187384</v>
      </c>
    </row>
    <row r="26" spans="1:18" ht="15" customHeight="1">
      <c r="A26" s="56"/>
      <c r="B26" s="73"/>
      <c r="C26" s="74"/>
      <c r="D26" s="140"/>
      <c r="E26" s="140"/>
      <c r="F26" s="56"/>
      <c r="G26" s="56"/>
      <c r="H26" s="140"/>
      <c r="I26" s="140"/>
    </row>
    <row r="27" spans="1:18" ht="28.5" customHeight="1">
      <c r="A27" s="75" t="s">
        <v>47</v>
      </c>
      <c r="B27" s="76" t="s">
        <v>18</v>
      </c>
      <c r="C27" s="74"/>
      <c r="D27" s="56"/>
      <c r="E27" s="56"/>
      <c r="F27" s="56"/>
      <c r="G27" s="56"/>
      <c r="H27" s="140"/>
      <c r="I27" s="140"/>
    </row>
    <row r="28" spans="1:18" ht="15" customHeight="1" thickBot="1">
      <c r="A28" s="56"/>
      <c r="B28" s="73"/>
      <c r="C28" s="74"/>
      <c r="D28" s="56"/>
      <c r="E28" s="56"/>
      <c r="F28" s="56"/>
      <c r="G28" s="56"/>
      <c r="H28" s="140"/>
      <c r="I28" s="140"/>
    </row>
    <row r="29" spans="1:18" ht="21.6" customHeight="1">
      <c r="A29" s="77">
        <v>1</v>
      </c>
      <c r="B29" s="78" t="s">
        <v>4</v>
      </c>
      <c r="C29" s="79" t="s">
        <v>21</v>
      </c>
      <c r="D29" s="194">
        <f>D14/'SHEET-4'!D29*1000</f>
        <v>741.60635577828145</v>
      </c>
      <c r="E29" s="57">
        <f>E14/'SHEET-4'!E29*1000</f>
        <v>722.53197598897577</v>
      </c>
      <c r="F29" s="57">
        <f>F14/'SHEET-4'!F29*1000</f>
        <v>694.85248054206568</v>
      </c>
      <c r="G29" s="57">
        <f>G14/'SHEET-4'!G29*1000</f>
        <v>674.0433922147098</v>
      </c>
      <c r="H29" s="189">
        <f>(D29-F29)/F29</f>
        <v>6.7286044945457091E-2</v>
      </c>
      <c r="I29" s="190">
        <f>(E29-G29)/G29</f>
        <v>7.1936887645981731E-2</v>
      </c>
      <c r="N29" s="80">
        <f>(D14/'SHEET-4'!D29)*1000</f>
        <v>741.60635577828145</v>
      </c>
      <c r="O29" s="80">
        <f>(E14/'SHEET-4'!E29)*1000</f>
        <v>722.53197598897577</v>
      </c>
      <c r="P29" s="80">
        <f>(F14/'SHEET-4'!F29)*1000</f>
        <v>694.85248054206568</v>
      </c>
      <c r="Q29" s="80">
        <f>(G14/'SHEET-4'!G29)*1000</f>
        <v>674.0433922147098</v>
      </c>
      <c r="R29" s="81"/>
    </row>
    <row r="30" spans="1:18" ht="21.6" customHeight="1">
      <c r="A30" s="65">
        <v>2</v>
      </c>
      <c r="B30" s="66" t="s">
        <v>83</v>
      </c>
      <c r="C30" s="82" t="s">
        <v>21</v>
      </c>
      <c r="D30" s="153">
        <v>0</v>
      </c>
      <c r="E30" s="174">
        <v>0</v>
      </c>
      <c r="F30" s="208">
        <v>0</v>
      </c>
      <c r="G30" s="208">
        <v>0</v>
      </c>
      <c r="H30" s="200" t="e">
        <f t="shared" ref="H30:I40" si="1">(D30-F30)/F30</f>
        <v>#DIV/0!</v>
      </c>
      <c r="I30" s="201" t="e">
        <f t="shared" si="1"/>
        <v>#DIV/0!</v>
      </c>
      <c r="N30" s="80" t="e">
        <f>(D15/'SHEET-4'!D30)*1000</f>
        <v>#DIV/0!</v>
      </c>
      <c r="O30" s="80" t="e">
        <f>(E15/'SHEET-4'!E30)*1000</f>
        <v>#DIV/0!</v>
      </c>
      <c r="P30" s="80" t="e">
        <f>(F15/'SHEET-4'!F30)*1000</f>
        <v>#DIV/0!</v>
      </c>
      <c r="R30" s="81"/>
    </row>
    <row r="31" spans="1:18" ht="21.6" customHeight="1">
      <c r="A31" s="65">
        <v>3</v>
      </c>
      <c r="B31" s="66" t="s">
        <v>7</v>
      </c>
      <c r="C31" s="82" t="s">
        <v>21</v>
      </c>
      <c r="D31" s="153">
        <v>0</v>
      </c>
      <c r="E31" s="174">
        <v>0</v>
      </c>
      <c r="F31" s="208">
        <v>0</v>
      </c>
      <c r="G31" s="208">
        <f t="shared" ref="G31" si="2">F31</f>
        <v>0</v>
      </c>
      <c r="H31" s="162">
        <v>0</v>
      </c>
      <c r="I31" s="163">
        <v>0</v>
      </c>
      <c r="N31" s="80" t="e">
        <f>(D16/'SHEET-4'!D31)*1000</f>
        <v>#DIV/0!</v>
      </c>
      <c r="O31" s="80" t="e">
        <f>(E16/'SHEET-4'!E31)*1000</f>
        <v>#DIV/0!</v>
      </c>
      <c r="P31" s="80" t="e">
        <f>(F16/'SHEET-4'!F31)*1000</f>
        <v>#DIV/0!</v>
      </c>
      <c r="R31" s="81"/>
    </row>
    <row r="32" spans="1:18" ht="24" customHeight="1">
      <c r="A32" s="65">
        <v>4</v>
      </c>
      <c r="B32" s="66" t="s">
        <v>8</v>
      </c>
      <c r="C32" s="82" t="s">
        <v>21</v>
      </c>
      <c r="D32" s="153">
        <f>D17/'SHEET-4'!D32*1000</f>
        <v>741.60635577828145</v>
      </c>
      <c r="E32" s="153">
        <f>E17/'SHEET-4'!E32*1000</f>
        <v>722.53197598897577</v>
      </c>
      <c r="F32" s="207">
        <f>F17/'SHEET-4'!F32*1000</f>
        <v>694.85248054206568</v>
      </c>
      <c r="G32" s="207">
        <f>G17/'SHEET-4'!G32*1000</f>
        <v>674.0433922147098</v>
      </c>
      <c r="H32" s="162">
        <f t="shared" si="1"/>
        <v>6.7286044945457091E-2</v>
      </c>
      <c r="I32" s="163">
        <f t="shared" si="1"/>
        <v>7.1936887645981731E-2</v>
      </c>
      <c r="N32" s="80">
        <f>(D17/'SHEET-4'!D32)*1000</f>
        <v>741.60635577828145</v>
      </c>
      <c r="O32" s="80">
        <f>(E17/'SHEET-4'!E32)*1000</f>
        <v>722.53197598897577</v>
      </c>
      <c r="P32" s="80">
        <f>(F17/'SHEET-4'!F32)*1000</f>
        <v>694.85248054206568</v>
      </c>
      <c r="R32" s="81"/>
    </row>
    <row r="33" spans="1:18" ht="21.6" customHeight="1">
      <c r="A33" s="65">
        <v>5</v>
      </c>
      <c r="B33" s="66" t="s">
        <v>2</v>
      </c>
      <c r="C33" s="82" t="s">
        <v>21</v>
      </c>
      <c r="D33" s="153">
        <f>D18/'SHEET-4'!D33*1000</f>
        <v>577.26628190514555</v>
      </c>
      <c r="E33" s="174">
        <f>E18/'SHEET-4'!E33*1000</f>
        <v>576.30851211928803</v>
      </c>
      <c r="F33" s="208">
        <f>F18/'SHEET-4'!F33*1000</f>
        <v>544.66602707277093</v>
      </c>
      <c r="G33" s="212">
        <f>G18/'SHEET-4'!G33*1000</f>
        <v>536.555987508763</v>
      </c>
      <c r="H33" s="162">
        <f t="shared" si="1"/>
        <v>5.9853659328781693E-2</v>
      </c>
      <c r="I33" s="163">
        <f t="shared" si="1"/>
        <v>7.4088306786206148E-2</v>
      </c>
      <c r="N33" s="80">
        <f>(D18/'SHEET-4'!D33)*1000</f>
        <v>577.26628190514555</v>
      </c>
      <c r="O33" s="80">
        <f>(E18/'SHEET-4'!E33)*1000</f>
        <v>576.30851211928803</v>
      </c>
      <c r="P33" s="80">
        <f>(F18/'SHEET-4'!F33)*1000</f>
        <v>544.66602707277093</v>
      </c>
      <c r="R33" s="81"/>
    </row>
    <row r="34" spans="1:18" ht="21.6" customHeight="1">
      <c r="A34" s="65">
        <v>6</v>
      </c>
      <c r="B34" s="66" t="s">
        <v>3</v>
      </c>
      <c r="C34" s="82" t="s">
        <v>21</v>
      </c>
      <c r="D34" s="294">
        <f>D19/'SHEET-4'!D34*1000</f>
        <v>749.78618072315021</v>
      </c>
      <c r="E34" s="295">
        <f>E19/'SHEET-4'!E34*1000</f>
        <v>733.11863168147727</v>
      </c>
      <c r="F34" s="255">
        <f>F19/'SHEET-4'!F34:F35*1000</f>
        <v>737.92560529296657</v>
      </c>
      <c r="G34" s="296">
        <f>G19/'SHEET-4'!G34*1000</f>
        <v>690.62847326334008</v>
      </c>
      <c r="H34" s="292">
        <f t="shared" si="1"/>
        <v>1.6072860658460055E-2</v>
      </c>
      <c r="I34" s="293">
        <f t="shared" si="1"/>
        <v>6.1523901870659585E-2</v>
      </c>
      <c r="N34" s="80">
        <f>(D19/'SHEET-4'!D34)*1000</f>
        <v>749.78618072315021</v>
      </c>
      <c r="O34" s="80">
        <f>(E19/'SHEET-4'!E34)*1000</f>
        <v>733.11863168147727</v>
      </c>
      <c r="P34" s="80">
        <f>(F19/'SHEET-4'!F34)*1000</f>
        <v>737.92560529296657</v>
      </c>
      <c r="R34" s="81"/>
    </row>
    <row r="35" spans="1:18" ht="21.6" customHeight="1">
      <c r="A35" s="65">
        <v>7</v>
      </c>
      <c r="B35" s="66" t="s">
        <v>1</v>
      </c>
      <c r="C35" s="82" t="s">
        <v>21</v>
      </c>
      <c r="D35" s="294"/>
      <c r="E35" s="295"/>
      <c r="F35" s="256"/>
      <c r="G35" s="297"/>
      <c r="H35" s="292"/>
      <c r="I35" s="293"/>
      <c r="N35" s="80" t="e">
        <f>(D20/'SHEET-4'!D35)*1000</f>
        <v>#DIV/0!</v>
      </c>
      <c r="O35" s="80" t="e">
        <f>(E20/'SHEET-4'!E35)*1000</f>
        <v>#DIV/0!</v>
      </c>
      <c r="P35" s="80" t="e">
        <f>(F20/'SHEET-4'!F35)*1000</f>
        <v>#DIV/0!</v>
      </c>
      <c r="R35" s="81"/>
    </row>
    <row r="36" spans="1:18" ht="21.6" customHeight="1">
      <c r="A36" s="65">
        <v>8</v>
      </c>
      <c r="B36" s="66" t="s">
        <v>120</v>
      </c>
      <c r="C36" s="82" t="s">
        <v>21</v>
      </c>
      <c r="D36" s="153">
        <f>D21/'SHEET-4'!D36*1000</f>
        <v>594.84593837535022</v>
      </c>
      <c r="E36" s="174">
        <f>E21/'SHEET-4'!E36*1000</f>
        <v>584.24129062426937</v>
      </c>
      <c r="F36" s="208">
        <f>F21/'SHEET-4'!F36*1000</f>
        <v>548.38418487091531</v>
      </c>
      <c r="G36" s="212">
        <f>G21/'SHEET-4'!G36*1000</f>
        <v>459.9263072621319</v>
      </c>
      <c r="H36" s="162">
        <f t="shared" si="1"/>
        <v>8.472482392133826E-2</v>
      </c>
      <c r="I36" s="163">
        <f t="shared" si="1"/>
        <v>0.27029326524539282</v>
      </c>
      <c r="N36" s="80">
        <f>(D21/'SHEET-4'!D36)*1000</f>
        <v>594.84593837535022</v>
      </c>
      <c r="O36" s="80">
        <f>(E21/'SHEET-4'!E36)*1000</f>
        <v>584.24129062426937</v>
      </c>
      <c r="P36" s="80">
        <f>(F21/'SHEET-4'!F36)*1000</f>
        <v>548.38418487091531</v>
      </c>
      <c r="R36" s="81"/>
    </row>
    <row r="37" spans="1:18" ht="24" customHeight="1">
      <c r="A37" s="65">
        <v>9</v>
      </c>
      <c r="B37" s="66" t="s">
        <v>10</v>
      </c>
      <c r="C37" s="82" t="s">
        <v>21</v>
      </c>
      <c r="D37" s="153">
        <f>D22/'SHEET-4'!D37*1000</f>
        <v>633.36640083629425</v>
      </c>
      <c r="E37" s="174">
        <f>E22/'SHEET-4'!E37*1000</f>
        <v>628.9665439742796</v>
      </c>
      <c r="F37" s="208">
        <f>F22/'SHEET-4'!F37*1000</f>
        <v>605.86722782201582</v>
      </c>
      <c r="G37" s="212">
        <f>G22/'SHEET-4'!G37*1000</f>
        <v>582.64392731596411</v>
      </c>
      <c r="H37" s="162">
        <f t="shared" si="1"/>
        <v>4.5388117646060884E-2</v>
      </c>
      <c r="I37" s="163">
        <f t="shared" si="1"/>
        <v>7.9504161094937548E-2</v>
      </c>
      <c r="N37" s="80">
        <f>(D22/'SHEET-4'!D37)*1000</f>
        <v>633.36640083629425</v>
      </c>
      <c r="O37" s="80">
        <f>(E22/'SHEET-4'!E37)*1000</f>
        <v>628.9665439742796</v>
      </c>
      <c r="P37" s="80">
        <f>(F22/'SHEET-4'!F37)*1000</f>
        <v>605.86722782201582</v>
      </c>
      <c r="R37" s="81"/>
    </row>
    <row r="38" spans="1:18" ht="21.6" customHeight="1">
      <c r="A38" s="65">
        <v>10</v>
      </c>
      <c r="B38" s="66" t="s">
        <v>5</v>
      </c>
      <c r="C38" s="82" t="s">
        <v>21</v>
      </c>
      <c r="D38" s="153">
        <f>D23/'SHEET-4'!D38*1000</f>
        <v>450.51406908722515</v>
      </c>
      <c r="E38" s="174">
        <f>E23/'SHEET-4'!E38*1000</f>
        <v>339.06317775962594</v>
      </c>
      <c r="F38" s="235">
        <f>F23/'SHEET-4'!F38*1000</f>
        <v>413.13467020177507</v>
      </c>
      <c r="G38" s="212">
        <f>G23/'SHEET-4'!G38*1000</f>
        <v>305.7057940307667</v>
      </c>
      <c r="H38" s="162">
        <f t="shared" si="1"/>
        <v>9.0477516368195343E-2</v>
      </c>
      <c r="I38" s="163">
        <f t="shared" si="1"/>
        <v>0.10911596829434679</v>
      </c>
      <c r="N38" s="80">
        <f>(D23/'SHEET-4'!D38)*1000</f>
        <v>450.51406908722515</v>
      </c>
      <c r="O38" s="80">
        <f>(E23/'SHEET-4'!E38)*1000</f>
        <v>339.06317775962594</v>
      </c>
      <c r="P38" s="80">
        <f>(F23/'SHEET-4'!F38)*1000</f>
        <v>413.13467020177507</v>
      </c>
      <c r="R38" s="81"/>
    </row>
    <row r="39" spans="1:18" ht="24" customHeight="1">
      <c r="A39" s="65">
        <v>11</v>
      </c>
      <c r="B39" s="66" t="s">
        <v>11</v>
      </c>
      <c r="C39" s="82" t="s">
        <v>21</v>
      </c>
      <c r="D39" s="153">
        <f>D24/'SHEET-4'!D39*1000</f>
        <v>614.37283776340439</v>
      </c>
      <c r="E39" s="174">
        <f>E24/'SHEET-4'!E39*1000</f>
        <v>582.76927146856531</v>
      </c>
      <c r="F39" s="208">
        <f>F24/'SHEET-4'!F39*1000</f>
        <v>584.4462183583488</v>
      </c>
      <c r="G39" s="212">
        <f>G24/'SHEET-4'!G39*1000</f>
        <v>534.95228804762439</v>
      </c>
      <c r="H39" s="162">
        <f t="shared" si="1"/>
        <v>5.1205086909650102E-2</v>
      </c>
      <c r="I39" s="163">
        <f t="shared" si="1"/>
        <v>8.9385510613395086E-2</v>
      </c>
      <c r="N39" s="80">
        <f>(D24/'SHEET-4'!D39)*1000</f>
        <v>614.37283776340439</v>
      </c>
      <c r="O39" s="80">
        <f>(E24/'SHEET-4'!E39)*1000</f>
        <v>582.76927146856531</v>
      </c>
      <c r="P39" s="80">
        <f>(F24/'SHEET-4'!F39)*1000</f>
        <v>584.4462183583488</v>
      </c>
      <c r="R39" s="81"/>
    </row>
    <row r="40" spans="1:18" ht="31.5" customHeight="1" thickBot="1">
      <c r="A40" s="70">
        <v>12</v>
      </c>
      <c r="B40" s="71" t="s">
        <v>12</v>
      </c>
      <c r="C40" s="83" t="s">
        <v>21</v>
      </c>
      <c r="D40" s="195">
        <f>D25/'SHEET-4'!D40*1000</f>
        <v>665.76388555878032</v>
      </c>
      <c r="E40" s="58">
        <f>E25/'SHEET-4'!E40*1000</f>
        <v>635.76071291613653</v>
      </c>
      <c r="F40" s="58">
        <f>F25/'SHEET-4'!F40*1000</f>
        <v>629.52793079216008</v>
      </c>
      <c r="G40" s="212">
        <f>G25/'SHEET-4'!G40*1000</f>
        <v>589.10048394133901</v>
      </c>
      <c r="H40" s="164">
        <f t="shared" si="1"/>
        <v>5.7560519548390955E-2</v>
      </c>
      <c r="I40" s="165">
        <f t="shared" si="1"/>
        <v>7.9205891434038972E-2</v>
      </c>
      <c r="N40" s="80">
        <f>(D25/'SHEET-4'!D40)*1000</f>
        <v>665.76388555878032</v>
      </c>
      <c r="O40" s="80">
        <f>(E25/'SHEET-4'!E40)*1000</f>
        <v>635.76071291613653</v>
      </c>
      <c r="P40" s="80">
        <f>(F25/'SHEET-4'!F40)*1000</f>
        <v>629.52793079216008</v>
      </c>
      <c r="R40" s="81"/>
    </row>
    <row r="41" spans="1:18" ht="23.25">
      <c r="P41" s="81"/>
    </row>
    <row r="42" spans="1:18" ht="23.25">
      <c r="P42" s="81"/>
    </row>
    <row r="43" spans="1:18" ht="12.75" customHeight="1">
      <c r="A43" s="258" t="s">
        <v>234</v>
      </c>
      <c r="B43" s="258"/>
      <c r="P43" s="81"/>
    </row>
    <row r="44" spans="1:18" ht="23.25">
      <c r="P44" s="81"/>
    </row>
    <row r="49" spans="4:6" ht="26.25">
      <c r="D49" s="84"/>
    </row>
    <row r="50" spans="4:6" ht="26.25">
      <c r="D50" s="84"/>
    </row>
    <row r="51" spans="4:6" ht="26.25">
      <c r="D51" s="85"/>
    </row>
    <row r="55" spans="4:6" ht="23.25">
      <c r="F55" s="69"/>
    </row>
    <row r="56" spans="4:6" ht="23.25">
      <c r="F56" s="69"/>
    </row>
    <row r="57" spans="4:6" ht="23.25">
      <c r="F57" s="69"/>
    </row>
  </sheetData>
  <mergeCells count="23">
    <mergeCell ref="A43:B43"/>
    <mergeCell ref="D34:D35"/>
    <mergeCell ref="E34:E35"/>
    <mergeCell ref="F34:F35"/>
    <mergeCell ref="G34:G35"/>
    <mergeCell ref="H34:H35"/>
    <mergeCell ref="I34:I35"/>
    <mergeCell ref="H12:H13"/>
    <mergeCell ref="I12:I13"/>
    <mergeCell ref="D13:E13"/>
    <mergeCell ref="F13:G13"/>
    <mergeCell ref="D19:D20"/>
    <mergeCell ref="E19:E20"/>
    <mergeCell ref="F19:F20"/>
    <mergeCell ref="G19:G20"/>
    <mergeCell ref="H19:H20"/>
    <mergeCell ref="I19:I20"/>
    <mergeCell ref="A5:I5"/>
    <mergeCell ref="A7:I7"/>
    <mergeCell ref="A9:I9"/>
    <mergeCell ref="D11:E11"/>
    <mergeCell ref="F11:G11"/>
    <mergeCell ref="H11:I11"/>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6" tint="-0.249977111117893"/>
  </sheetPr>
  <dimension ref="A2:P76"/>
  <sheetViews>
    <sheetView view="pageBreakPreview" topLeftCell="A34" zoomScale="60" zoomScaleNormal="60" workbookViewId="0">
      <selection activeCell="F34" sqref="F34:F35"/>
    </sheetView>
  </sheetViews>
  <sheetFormatPr defaultRowHeight="12.75"/>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c r="I2" s="49" t="s">
        <v>227</v>
      </c>
    </row>
    <row r="5" spans="1:10" ht="30">
      <c r="A5" s="298" t="s">
        <v>0</v>
      </c>
      <c r="B5" s="298"/>
      <c r="C5" s="298"/>
      <c r="D5" s="298"/>
      <c r="E5" s="298"/>
      <c r="F5" s="298"/>
      <c r="G5" s="298"/>
      <c r="H5" s="298"/>
      <c r="I5" s="298"/>
      <c r="J5" s="5"/>
    </row>
    <row r="6" spans="1:10" ht="8.25" customHeight="1">
      <c r="A6" s="5"/>
      <c r="B6" s="5"/>
      <c r="C6" s="5"/>
      <c r="D6" s="5"/>
      <c r="E6" s="5"/>
      <c r="F6" s="5"/>
      <c r="G6" s="5"/>
      <c r="H6" s="5"/>
      <c r="I6" s="5"/>
      <c r="J6" s="5"/>
    </row>
    <row r="7" spans="1:10" ht="30">
      <c r="A7" s="300" t="s">
        <v>20</v>
      </c>
      <c r="B7" s="300"/>
      <c r="C7" s="300"/>
      <c r="D7" s="300"/>
      <c r="E7" s="300"/>
      <c r="F7" s="300"/>
      <c r="G7" s="300"/>
      <c r="H7" s="300"/>
      <c r="I7" s="300"/>
      <c r="J7" s="5"/>
    </row>
    <row r="8" spans="1:10" ht="8.25" customHeight="1">
      <c r="A8" s="5"/>
      <c r="B8" s="5"/>
      <c r="C8" s="5"/>
      <c r="D8" s="5"/>
      <c r="E8" s="5"/>
      <c r="F8" s="5"/>
      <c r="G8" s="5"/>
      <c r="H8" s="5"/>
      <c r="I8" s="5"/>
      <c r="J8" s="5"/>
    </row>
    <row r="9" spans="1:10" ht="27.75">
      <c r="A9" s="299" t="s">
        <v>41</v>
      </c>
      <c r="B9" s="299"/>
      <c r="C9" s="299"/>
      <c r="D9" s="299"/>
      <c r="E9" s="299"/>
      <c r="F9" s="299"/>
      <c r="G9" s="299"/>
      <c r="H9" s="299"/>
      <c r="I9" s="299"/>
      <c r="J9" s="5"/>
    </row>
    <row r="10" spans="1:10" ht="13.5" thickBot="1">
      <c r="A10" s="5"/>
      <c r="B10" s="5"/>
      <c r="C10" s="5"/>
      <c r="D10" s="5"/>
      <c r="E10" s="5"/>
      <c r="F10" s="5"/>
      <c r="G10" s="5"/>
      <c r="H10" s="5"/>
      <c r="I10" s="5"/>
      <c r="J10" s="5"/>
    </row>
    <row r="11" spans="1:10" ht="18">
      <c r="A11" s="12"/>
      <c r="B11" s="51"/>
      <c r="C11" s="51"/>
      <c r="D11" s="301" t="s">
        <v>16</v>
      </c>
      <c r="E11" s="301"/>
      <c r="F11" s="301" t="s">
        <v>67</v>
      </c>
      <c r="G11" s="301"/>
      <c r="H11" s="301" t="s">
        <v>17</v>
      </c>
      <c r="I11" s="302"/>
      <c r="J11" s="5"/>
    </row>
    <row r="12" spans="1:10" ht="18">
      <c r="A12" s="13"/>
      <c r="B12" s="52"/>
      <c r="C12" s="52"/>
      <c r="D12" s="52" t="s">
        <v>14</v>
      </c>
      <c r="E12" s="52" t="s">
        <v>15</v>
      </c>
      <c r="F12" s="52" t="s">
        <v>14</v>
      </c>
      <c r="G12" s="52" t="s">
        <v>15</v>
      </c>
      <c r="H12" s="303" t="s">
        <v>14</v>
      </c>
      <c r="I12" s="305" t="s">
        <v>15</v>
      </c>
      <c r="J12" s="5"/>
    </row>
    <row r="13" spans="1:10" ht="27" customHeight="1" thickBot="1">
      <c r="A13" s="15" t="s">
        <v>39</v>
      </c>
      <c r="B13" s="16" t="s">
        <v>40</v>
      </c>
      <c r="C13" s="1"/>
      <c r="D13" s="268" t="str">
        <f>+'SHEET-5'!D13:E13</f>
        <v>July-2019 to Sept-2019</v>
      </c>
      <c r="E13" s="268"/>
      <c r="F13" s="268" t="str">
        <f>+'SHEET-5'!F13:G13</f>
        <v>July-2018 to Sept-2018</v>
      </c>
      <c r="G13" s="268"/>
      <c r="H13" s="304"/>
      <c r="I13" s="306"/>
      <c r="J13" s="5"/>
    </row>
    <row r="14" spans="1:10" ht="23.25">
      <c r="A14" s="128">
        <v>1</v>
      </c>
      <c r="B14" s="129" t="s">
        <v>4</v>
      </c>
      <c r="C14" s="130" t="s">
        <v>36</v>
      </c>
      <c r="D14" s="241">
        <v>84.125</v>
      </c>
      <c r="E14" s="241">
        <v>85.655000000000001</v>
      </c>
      <c r="F14" s="224">
        <v>82.453831108040404</v>
      </c>
      <c r="G14" s="228">
        <v>82.228613164524106</v>
      </c>
      <c r="H14" s="149">
        <f>(D14-F14)/F14</f>
        <v>2.0267935031058046E-2</v>
      </c>
      <c r="I14" s="150">
        <f>(E14-G14)/G14</f>
        <v>4.1669033486194579E-2</v>
      </c>
      <c r="J14" s="5"/>
    </row>
    <row r="15" spans="1:10" ht="23.25">
      <c r="A15" s="13">
        <v>2</v>
      </c>
      <c r="B15" s="14" t="s">
        <v>83</v>
      </c>
      <c r="C15" s="27" t="s">
        <v>36</v>
      </c>
      <c r="D15" s="238">
        <v>0</v>
      </c>
      <c r="E15" s="238">
        <v>0</v>
      </c>
      <c r="F15" s="114">
        <v>0</v>
      </c>
      <c r="G15" s="114">
        <v>0</v>
      </c>
      <c r="H15" s="202" t="e">
        <f t="shared" ref="H15:H18" si="0">(D15-F15)/F15</f>
        <v>#DIV/0!</v>
      </c>
      <c r="I15" s="203" t="e">
        <f t="shared" ref="I15:I25" si="1">(E15-G15)/G15</f>
        <v>#DIV/0!</v>
      </c>
      <c r="J15" s="5"/>
    </row>
    <row r="16" spans="1:10" ht="23.25">
      <c r="A16" s="13">
        <v>3</v>
      </c>
      <c r="B16" s="14" t="s">
        <v>7</v>
      </c>
      <c r="C16" s="27" t="s">
        <v>36</v>
      </c>
      <c r="D16" s="238">
        <v>0</v>
      </c>
      <c r="E16" s="238">
        <v>0</v>
      </c>
      <c r="F16" s="114">
        <v>0</v>
      </c>
      <c r="G16" s="114">
        <v>0</v>
      </c>
      <c r="H16" s="149">
        <v>0</v>
      </c>
      <c r="I16" s="146">
        <v>0</v>
      </c>
      <c r="J16" s="5"/>
    </row>
    <row r="17" spans="1:16" ht="23.25">
      <c r="A17" s="13">
        <v>4</v>
      </c>
      <c r="B17" s="14" t="s">
        <v>8</v>
      </c>
      <c r="C17" s="27" t="s">
        <v>36</v>
      </c>
      <c r="D17" s="238">
        <v>84.125</v>
      </c>
      <c r="E17" s="238">
        <v>85.655000000000001</v>
      </c>
      <c r="F17" s="114">
        <f>+F14+F15+F16</f>
        <v>82.453831108040404</v>
      </c>
      <c r="G17" s="114">
        <f>+G14+G15+G16</f>
        <v>82.228613164524106</v>
      </c>
      <c r="H17" s="149">
        <f t="shared" si="0"/>
        <v>2.0267935031058046E-2</v>
      </c>
      <c r="I17" s="146">
        <f t="shared" si="1"/>
        <v>4.1669033486194579E-2</v>
      </c>
      <c r="J17" s="5"/>
    </row>
    <row r="18" spans="1:16" ht="23.25">
      <c r="A18" s="13">
        <v>5</v>
      </c>
      <c r="B18" s="14" t="s">
        <v>2</v>
      </c>
      <c r="C18" s="27" t="s">
        <v>36</v>
      </c>
      <c r="D18" s="242">
        <v>14.673999999999999</v>
      </c>
      <c r="E18" s="242">
        <v>16.678999999999998</v>
      </c>
      <c r="F18" s="225">
        <v>15.450329363488843</v>
      </c>
      <c r="G18" s="228">
        <v>16.650199692160388</v>
      </c>
      <c r="H18" s="149">
        <f t="shared" si="0"/>
        <v>-5.0246784079788699E-2</v>
      </c>
      <c r="I18" s="146">
        <f t="shared" si="1"/>
        <v>1.729727473068721E-3</v>
      </c>
      <c r="J18" s="5"/>
    </row>
    <row r="19" spans="1:16" ht="18" customHeight="1">
      <c r="A19" s="13">
        <v>6</v>
      </c>
      <c r="B19" s="14" t="s">
        <v>3</v>
      </c>
      <c r="C19" s="27" t="s">
        <v>36</v>
      </c>
      <c r="D19" s="245">
        <v>72.078000000000003</v>
      </c>
      <c r="E19" s="245">
        <v>74.816000000000003</v>
      </c>
      <c r="F19" s="310">
        <v>71.015186115742225</v>
      </c>
      <c r="G19" s="283">
        <v>72.582612918309081</v>
      </c>
      <c r="H19" s="309">
        <f t="shared" ref="H19" si="2">(D19-F19)/F19</f>
        <v>1.4966008573512421E-2</v>
      </c>
      <c r="I19" s="308">
        <f t="shared" si="1"/>
        <v>3.0770276680512635E-2</v>
      </c>
      <c r="J19" s="5"/>
    </row>
    <row r="20" spans="1:16" ht="18" customHeight="1">
      <c r="A20" s="13">
        <v>7</v>
      </c>
      <c r="B20" s="14" t="s">
        <v>1</v>
      </c>
      <c r="C20" s="27" t="s">
        <v>36</v>
      </c>
      <c r="D20" s="246"/>
      <c r="E20" s="246"/>
      <c r="F20" s="310"/>
      <c r="G20" s="284"/>
      <c r="H20" s="309"/>
      <c r="I20" s="308"/>
      <c r="J20" s="5"/>
      <c r="P20" s="2"/>
    </row>
    <row r="21" spans="1:16" ht="23.25">
      <c r="A21" s="13">
        <v>8</v>
      </c>
      <c r="B21" s="14" t="s">
        <v>9</v>
      </c>
      <c r="C21" s="27" t="s">
        <v>36</v>
      </c>
      <c r="D21" s="242">
        <v>3.202</v>
      </c>
      <c r="E21" s="242">
        <v>3.2789999999999999</v>
      </c>
      <c r="F21" s="225">
        <v>3.3253536947826476</v>
      </c>
      <c r="G21" s="228">
        <v>3.2475695635759174</v>
      </c>
      <c r="H21" s="149">
        <f t="shared" ref="H21:H25" si="3">(D21-F21)/F21</f>
        <v>-3.7094909626060199E-2</v>
      </c>
      <c r="I21" s="146">
        <f t="shared" si="1"/>
        <v>9.6781410863680667E-3</v>
      </c>
      <c r="J21" s="5"/>
    </row>
    <row r="22" spans="1:16" ht="23.25">
      <c r="A22" s="13">
        <v>9</v>
      </c>
      <c r="B22" s="14" t="s">
        <v>10</v>
      </c>
      <c r="C22" s="27" t="s">
        <v>36</v>
      </c>
      <c r="D22" s="238">
        <v>32.194000000000003</v>
      </c>
      <c r="E22" s="238">
        <v>35.204999999999998</v>
      </c>
      <c r="F22" s="230">
        <v>32.756223177114734</v>
      </c>
      <c r="G22" s="228">
        <v>34.442504852027945</v>
      </c>
      <c r="H22" s="149">
        <f t="shared" si="3"/>
        <v>-1.7163858423932424E-2</v>
      </c>
      <c r="I22" s="146">
        <f t="shared" si="1"/>
        <v>2.2138202527600386E-2</v>
      </c>
      <c r="J22" s="5"/>
    </row>
    <row r="23" spans="1:16" ht="23.25">
      <c r="A23" s="13">
        <v>10</v>
      </c>
      <c r="B23" s="14" t="s">
        <v>5</v>
      </c>
      <c r="C23" s="27" t="s">
        <v>36</v>
      </c>
      <c r="D23" s="242">
        <v>45.899000000000001</v>
      </c>
      <c r="E23" s="242">
        <v>31.119</v>
      </c>
      <c r="F23" s="225">
        <v>45.566498678587337</v>
      </c>
      <c r="G23" s="228">
        <v>30.726770737337855</v>
      </c>
      <c r="H23" s="149">
        <f t="shared" si="3"/>
        <v>7.2970566327255166E-3</v>
      </c>
      <c r="I23" s="146">
        <f t="shared" si="1"/>
        <v>1.2765066202857583E-2</v>
      </c>
      <c r="J23" s="5"/>
    </row>
    <row r="24" spans="1:16" ht="23.25">
      <c r="A24" s="13">
        <v>11</v>
      </c>
      <c r="B24" s="14" t="s">
        <v>11</v>
      </c>
      <c r="C24" s="27" t="s">
        <v>36</v>
      </c>
      <c r="D24" s="238">
        <v>33.411000000000001</v>
      </c>
      <c r="E24" s="238">
        <v>34.637</v>
      </c>
      <c r="F24" s="230">
        <v>33.893283079605439</v>
      </c>
      <c r="G24" s="228">
        <v>33.944358117061064</v>
      </c>
      <c r="H24" s="149">
        <f t="shared" si="3"/>
        <v>-1.4229458930629272E-2</v>
      </c>
      <c r="I24" s="146">
        <f t="shared" si="1"/>
        <v>2.0405213748637702E-2</v>
      </c>
      <c r="J24" s="5"/>
    </row>
    <row r="25" spans="1:16" ht="24" thickBot="1">
      <c r="A25" s="15">
        <v>12</v>
      </c>
      <c r="B25" s="16" t="s">
        <v>12</v>
      </c>
      <c r="C25" s="28" t="s">
        <v>36</v>
      </c>
      <c r="D25" s="239">
        <v>57.8</v>
      </c>
      <c r="E25" s="239">
        <v>59.35</v>
      </c>
      <c r="F25" s="226">
        <v>57.724457954807853</v>
      </c>
      <c r="G25" s="228">
        <v>57.377745690799941</v>
      </c>
      <c r="H25" s="149">
        <f t="shared" si="3"/>
        <v>1.3086661680094985E-3</v>
      </c>
      <c r="I25" s="145">
        <f t="shared" si="1"/>
        <v>3.4373157841164466E-2</v>
      </c>
      <c r="J25" s="5"/>
    </row>
    <row r="26" spans="1:16" ht="8.25" customHeight="1">
      <c r="A26" s="6"/>
      <c r="B26" s="7"/>
      <c r="C26" s="8"/>
      <c r="D26" s="216"/>
      <c r="E26" s="216"/>
      <c r="F26" s="137"/>
      <c r="G26" s="137"/>
      <c r="H26" s="10"/>
      <c r="I26" s="11"/>
      <c r="J26" s="5"/>
    </row>
    <row r="27" spans="1:16" ht="27" customHeight="1">
      <c r="A27" s="3" t="s">
        <v>6</v>
      </c>
      <c r="B27" s="9" t="s">
        <v>104</v>
      </c>
      <c r="C27" s="8"/>
      <c r="D27" s="216"/>
      <c r="E27" s="216"/>
      <c r="F27" s="137"/>
      <c r="G27" s="137"/>
      <c r="H27" s="10"/>
      <c r="I27" s="11"/>
      <c r="J27" s="5"/>
    </row>
    <row r="28" spans="1:16" ht="9" customHeight="1" thickBot="1">
      <c r="A28" s="6"/>
      <c r="B28" s="7"/>
      <c r="C28" s="8"/>
      <c r="D28" s="216"/>
      <c r="E28" s="216"/>
      <c r="F28" s="137"/>
      <c r="G28" s="137"/>
      <c r="H28" s="10"/>
      <c r="I28" s="148"/>
      <c r="J28" s="5"/>
    </row>
    <row r="29" spans="1:16" ht="23.25">
      <c r="A29" s="12">
        <v>1</v>
      </c>
      <c r="B29" s="17" t="s">
        <v>4</v>
      </c>
      <c r="C29" s="4" t="s">
        <v>36</v>
      </c>
      <c r="D29" s="237">
        <v>417.75</v>
      </c>
      <c r="E29" s="237">
        <v>417.52</v>
      </c>
      <c r="F29" s="231">
        <v>408.59403276292863</v>
      </c>
      <c r="G29" s="231">
        <v>408.26620579563382</v>
      </c>
      <c r="H29" s="142">
        <f>(D29-F29)/F29</f>
        <v>2.2408470273435864E-2</v>
      </c>
      <c r="I29" s="143">
        <f>(E29-G29)/G29</f>
        <v>2.2666079320310773E-2</v>
      </c>
      <c r="J29" s="5"/>
    </row>
    <row r="30" spans="1:16" ht="23.25">
      <c r="A30" s="13">
        <v>2</v>
      </c>
      <c r="B30" s="14" t="s">
        <v>83</v>
      </c>
      <c r="C30" s="27" t="s">
        <v>36</v>
      </c>
      <c r="D30" s="237">
        <v>0</v>
      </c>
      <c r="E30" s="237">
        <v>0</v>
      </c>
      <c r="F30" s="114">
        <v>0</v>
      </c>
      <c r="G30" s="114">
        <v>0</v>
      </c>
      <c r="H30" s="199" t="e">
        <f t="shared" ref="H30:H40" si="4">(D30-F30)/F30</f>
        <v>#DIV/0!</v>
      </c>
      <c r="I30" s="203" t="e">
        <f t="shared" ref="I30:I40" si="5">(E30-G30)/G30</f>
        <v>#DIV/0!</v>
      </c>
      <c r="J30" s="5"/>
    </row>
    <row r="31" spans="1:16" ht="23.25">
      <c r="A31" s="13">
        <v>3</v>
      </c>
      <c r="B31" s="14" t="s">
        <v>7</v>
      </c>
      <c r="C31" s="27" t="s">
        <v>36</v>
      </c>
      <c r="D31" s="237">
        <v>0</v>
      </c>
      <c r="E31" s="237">
        <v>0</v>
      </c>
      <c r="F31" s="114">
        <v>0</v>
      </c>
      <c r="G31" s="114">
        <v>0</v>
      </c>
      <c r="H31" s="147">
        <v>0</v>
      </c>
      <c r="I31" s="146">
        <v>0</v>
      </c>
      <c r="J31" s="5"/>
    </row>
    <row r="32" spans="1:16" ht="23.25">
      <c r="A32" s="13">
        <v>4</v>
      </c>
      <c r="B32" s="14" t="s">
        <v>8</v>
      </c>
      <c r="C32" s="27" t="s">
        <v>36</v>
      </c>
      <c r="D32" s="237">
        <v>417.75</v>
      </c>
      <c r="E32" s="237">
        <v>417.52</v>
      </c>
      <c r="F32" s="231">
        <v>408.59403276292863</v>
      </c>
      <c r="G32" s="231">
        <f>+G29</f>
        <v>408.26620579563382</v>
      </c>
      <c r="H32" s="147">
        <f t="shared" si="4"/>
        <v>2.2408470273435864E-2</v>
      </c>
      <c r="I32" s="146">
        <f t="shared" si="5"/>
        <v>2.2666079320310773E-2</v>
      </c>
      <c r="J32" s="5"/>
    </row>
    <row r="33" spans="1:10" ht="23.25">
      <c r="A33" s="13">
        <v>5</v>
      </c>
      <c r="B33" s="14" t="s">
        <v>2</v>
      </c>
      <c r="C33" s="27" t="s">
        <v>36</v>
      </c>
      <c r="D33" s="240">
        <v>385.61</v>
      </c>
      <c r="E33" s="240">
        <v>388.78</v>
      </c>
      <c r="F33" s="227">
        <v>382.09093648121325</v>
      </c>
      <c r="G33" s="231">
        <v>386.24478976885104</v>
      </c>
      <c r="H33" s="147">
        <f t="shared" si="4"/>
        <v>9.2100156868279749E-3</v>
      </c>
      <c r="I33" s="146">
        <f t="shared" si="5"/>
        <v>6.5637396239471325E-3</v>
      </c>
      <c r="J33" s="5"/>
    </row>
    <row r="34" spans="1:10" ht="18" customHeight="1">
      <c r="A34" s="13">
        <v>6</v>
      </c>
      <c r="B34" s="14" t="s">
        <v>3</v>
      </c>
      <c r="C34" s="27" t="s">
        <v>36</v>
      </c>
      <c r="D34" s="243">
        <v>464.8</v>
      </c>
      <c r="E34" s="243">
        <v>468.75</v>
      </c>
      <c r="F34" s="311">
        <v>487.65036791604837</v>
      </c>
      <c r="G34" s="311">
        <v>491.3482515751756</v>
      </c>
      <c r="H34" s="309">
        <f t="shared" si="4"/>
        <v>-4.6858096331800922E-2</v>
      </c>
      <c r="I34" s="308">
        <f t="shared" si="5"/>
        <v>-4.5992331310286745E-2</v>
      </c>
      <c r="J34" s="5"/>
    </row>
    <row r="35" spans="1:10" ht="18" customHeight="1">
      <c r="A35" s="13">
        <v>7</v>
      </c>
      <c r="B35" s="14" t="s">
        <v>1</v>
      </c>
      <c r="C35" s="27" t="s">
        <v>36</v>
      </c>
      <c r="D35" s="244"/>
      <c r="E35" s="244"/>
      <c r="F35" s="311"/>
      <c r="G35" s="311" t="e">
        <v>#DIV/0!</v>
      </c>
      <c r="H35" s="309"/>
      <c r="I35" s="308"/>
      <c r="J35" s="5"/>
    </row>
    <row r="36" spans="1:10" ht="23.25">
      <c r="A36" s="13">
        <v>8</v>
      </c>
      <c r="B36" s="14" t="s">
        <v>9</v>
      </c>
      <c r="C36" s="27" t="s">
        <v>36</v>
      </c>
      <c r="D36" s="240">
        <v>351.26</v>
      </c>
      <c r="E36" s="240">
        <v>356.81</v>
      </c>
      <c r="F36" s="227">
        <v>378.86220968671734</v>
      </c>
      <c r="G36" s="231">
        <v>370.87712984679018</v>
      </c>
      <c r="H36" s="147">
        <f t="shared" si="4"/>
        <v>-7.2855536870625653E-2</v>
      </c>
      <c r="I36" s="146">
        <f t="shared" si="5"/>
        <v>-3.792935372585883E-2</v>
      </c>
      <c r="J36" s="5"/>
    </row>
    <row r="37" spans="1:10" ht="23.25">
      <c r="A37" s="13">
        <v>9</v>
      </c>
      <c r="B37" s="14" t="s">
        <v>10</v>
      </c>
      <c r="C37" s="27" t="s">
        <v>36</v>
      </c>
      <c r="D37" s="237">
        <v>408.7</v>
      </c>
      <c r="E37" s="237">
        <v>413.42</v>
      </c>
      <c r="F37" s="231">
        <v>416.11758607579458</v>
      </c>
      <c r="G37" s="231">
        <v>420.28413735278821</v>
      </c>
      <c r="H37" s="147">
        <f t="shared" si="4"/>
        <v>-1.7825697168308327E-2</v>
      </c>
      <c r="I37" s="146">
        <f t="shared" si="5"/>
        <v>-1.6332135197923033E-2</v>
      </c>
      <c r="J37" s="5"/>
    </row>
    <row r="38" spans="1:10" ht="23.25">
      <c r="A38" s="13">
        <v>10</v>
      </c>
      <c r="B38" s="14" t="s">
        <v>224</v>
      </c>
      <c r="C38" s="27" t="s">
        <v>36</v>
      </c>
      <c r="D38" s="240">
        <v>89.78</v>
      </c>
      <c r="E38" s="240">
        <v>88.9</v>
      </c>
      <c r="F38" s="227">
        <v>91.392668975138278</v>
      </c>
      <c r="G38" s="231">
        <v>90.984854251139737</v>
      </c>
      <c r="H38" s="147">
        <f t="shared" si="4"/>
        <v>-1.764549600337172E-2</v>
      </c>
      <c r="I38" s="146">
        <f t="shared" si="5"/>
        <v>-2.2914300059052026E-2</v>
      </c>
      <c r="J38" s="5"/>
    </row>
    <row r="39" spans="1:10" ht="23.25">
      <c r="A39" s="13">
        <v>11</v>
      </c>
      <c r="B39" s="14" t="s">
        <v>11</v>
      </c>
      <c r="C39" s="27" t="s">
        <v>36</v>
      </c>
      <c r="D39" s="237">
        <v>380.37</v>
      </c>
      <c r="E39" s="237">
        <v>368.31</v>
      </c>
      <c r="F39" s="231">
        <v>387.29449928641759</v>
      </c>
      <c r="G39" s="231">
        <v>376.13690893418499</v>
      </c>
      <c r="H39" s="147">
        <f t="shared" si="4"/>
        <v>-1.7879157331632228E-2</v>
      </c>
      <c r="I39" s="146">
        <f t="shared" si="5"/>
        <v>-2.0808670322631135E-2</v>
      </c>
      <c r="J39" s="5"/>
    </row>
    <row r="40" spans="1:10" ht="24" thickBot="1">
      <c r="A40" s="15"/>
      <c r="B40" s="16" t="s">
        <v>12</v>
      </c>
      <c r="C40" s="28" t="s">
        <v>36</v>
      </c>
      <c r="D40" s="237">
        <v>398.35</v>
      </c>
      <c r="E40" s="237">
        <v>392.14</v>
      </c>
      <c r="F40" s="231">
        <v>397.74728303057424</v>
      </c>
      <c r="G40" s="231">
        <v>391.72758657240524</v>
      </c>
      <c r="H40" s="144">
        <f t="shared" si="4"/>
        <v>1.5153264274578465E-3</v>
      </c>
      <c r="I40" s="145">
        <f t="shared" si="5"/>
        <v>1.0528066996846901E-3</v>
      </c>
      <c r="J40" s="5"/>
    </row>
    <row r="41" spans="1:10" ht="15.75" customHeight="1">
      <c r="A41" s="6"/>
      <c r="B41" s="7"/>
      <c r="C41" s="8"/>
      <c r="D41" s="118"/>
      <c r="E41" s="118"/>
      <c r="F41" s="24"/>
      <c r="G41" s="24"/>
      <c r="H41" s="10"/>
      <c r="I41" s="11"/>
      <c r="J41" s="5"/>
    </row>
    <row r="42" spans="1:10" ht="20.25">
      <c r="A42" s="3" t="s">
        <v>46</v>
      </c>
      <c r="B42" s="9" t="s">
        <v>37</v>
      </c>
      <c r="C42" s="8"/>
      <c r="D42" s="118"/>
      <c r="E42" s="118"/>
      <c r="F42" s="24"/>
      <c r="G42" s="24"/>
      <c r="H42" s="10"/>
      <c r="I42" s="11"/>
      <c r="J42" s="5"/>
    </row>
    <row r="43" spans="1:10" ht="12" customHeight="1" thickBot="1">
      <c r="A43" s="6"/>
      <c r="B43" s="7"/>
      <c r="C43" s="8"/>
      <c r="D43" s="118"/>
      <c r="E43" s="118"/>
      <c r="F43" s="24"/>
      <c r="G43" s="24"/>
      <c r="H43" s="10"/>
      <c r="I43" s="11"/>
      <c r="J43" s="5"/>
    </row>
    <row r="44" spans="1:10" ht="23.25">
      <c r="A44" s="12">
        <v>1</v>
      </c>
      <c r="B44" s="17" t="s">
        <v>4</v>
      </c>
      <c r="C44" s="4" t="s">
        <v>38</v>
      </c>
      <c r="D44" s="217">
        <f>'SHEET-4'!D29/'SHEET-4'!D14*10^6</f>
        <v>438890.15591043216</v>
      </c>
      <c r="E44" s="217">
        <f>'SHEET-4'!E29/'SHEET-4'!E14*10^6</f>
        <v>897496.13656126766</v>
      </c>
      <c r="F44" s="46">
        <f>'SHEET-4'!F29/'SHEET-4'!F14*10^6</f>
        <v>482196.71338811016</v>
      </c>
      <c r="G44" s="46">
        <f>'SHEET-4'!G29/'SHEET-4'!G14*10^6</f>
        <v>985425.32624456263</v>
      </c>
      <c r="H44" s="142">
        <f>(D44-F44)/F44</f>
        <v>-8.9810976050393454E-2</v>
      </c>
      <c r="I44" s="143">
        <f>(E44-G44)/G44</f>
        <v>-8.9229683205313437E-2</v>
      </c>
      <c r="J44" s="5"/>
    </row>
    <row r="45" spans="1:10" ht="23.25">
      <c r="A45" s="13">
        <v>2</v>
      </c>
      <c r="B45" s="14" t="s">
        <v>83</v>
      </c>
      <c r="C45" s="27" t="s">
        <v>38</v>
      </c>
      <c r="D45" s="218">
        <v>0</v>
      </c>
      <c r="E45" s="219">
        <v>0</v>
      </c>
      <c r="F45" s="47">
        <v>0</v>
      </c>
      <c r="G45" s="223">
        <v>0</v>
      </c>
      <c r="H45" s="199" t="e">
        <f t="shared" ref="H45:H55" si="6">(D45-F45)/F45</f>
        <v>#DIV/0!</v>
      </c>
      <c r="I45" s="203" t="e">
        <f t="shared" ref="I45:I54" si="7">(E45-G45)/G45</f>
        <v>#DIV/0!</v>
      </c>
      <c r="J45" s="5"/>
    </row>
    <row r="46" spans="1:10" ht="24" thickBot="1">
      <c r="A46" s="13">
        <v>3</v>
      </c>
      <c r="B46" s="14" t="s">
        <v>7</v>
      </c>
      <c r="C46" s="27" t="s">
        <v>38</v>
      </c>
      <c r="D46" s="220">
        <v>0</v>
      </c>
      <c r="E46" s="114">
        <f t="shared" ref="E46" si="8">D46</f>
        <v>0</v>
      </c>
      <c r="F46" s="47">
        <v>0</v>
      </c>
      <c r="G46" s="223">
        <v>0</v>
      </c>
      <c r="H46" s="53">
        <v>0</v>
      </c>
      <c r="I46" s="94">
        <v>0</v>
      </c>
      <c r="J46" s="5"/>
    </row>
    <row r="47" spans="1:10" ht="24" thickBot="1">
      <c r="A47" s="13">
        <v>4</v>
      </c>
      <c r="B47" s="14" t="s">
        <v>8</v>
      </c>
      <c r="C47" s="27" t="s">
        <v>38</v>
      </c>
      <c r="D47" s="217">
        <f>'SHEET-4'!D32/'SHEET-4'!D17*10^6</f>
        <v>438890.15591043216</v>
      </c>
      <c r="E47" s="217">
        <f>'SHEET-4'!E32/'SHEET-4'!E17*10^6</f>
        <v>897496.13656126766</v>
      </c>
      <c r="F47" s="47">
        <f>'SHEET-4'!F32/'SHEET-4'!F17*10^6</f>
        <v>482196.71338811016</v>
      </c>
      <c r="G47" s="223">
        <f>'SHEET-4'!G32/'SHEET-4'!G17*10^6</f>
        <v>985425.32624456263</v>
      </c>
      <c r="H47" s="53">
        <f t="shared" si="6"/>
        <v>-8.9810976050393454E-2</v>
      </c>
      <c r="I47" s="94">
        <f t="shared" si="7"/>
        <v>-8.9229683205313437E-2</v>
      </c>
      <c r="J47" s="5"/>
    </row>
    <row r="48" spans="1:10" ht="23.25">
      <c r="A48" s="13">
        <v>5</v>
      </c>
      <c r="B48" s="14" t="s">
        <v>2</v>
      </c>
      <c r="C48" s="27" t="s">
        <v>38</v>
      </c>
      <c r="D48" s="217">
        <f>'SHEET-4'!D33/'SHEET-4'!D18*10^6</f>
        <v>302.71016392508318</v>
      </c>
      <c r="E48" s="217">
        <f>'SHEET-4'!E33/'SHEET-4'!E18*10^6</f>
        <v>628.08190029962384</v>
      </c>
      <c r="F48" s="47">
        <f>'SHEET-4'!F33/'SHEET-4'!F18*10^6</f>
        <v>304.10043005429105</v>
      </c>
      <c r="G48" s="223">
        <f>'SHEET-4'!G33/'SHEET-4'!G18*10^6</f>
        <v>603.14460863829459</v>
      </c>
      <c r="H48" s="53">
        <f t="shared" si="6"/>
        <v>-4.5717335189551329E-3</v>
      </c>
      <c r="I48" s="94">
        <f t="shared" si="7"/>
        <v>4.1345460614544152E-2</v>
      </c>
      <c r="J48" s="5"/>
    </row>
    <row r="49" spans="1:10" ht="18" customHeight="1">
      <c r="A49" s="13">
        <v>6</v>
      </c>
      <c r="B49" s="14" t="s">
        <v>3</v>
      </c>
      <c r="C49" s="27" t="s">
        <v>38</v>
      </c>
      <c r="D49" s="307">
        <f>'SHEET-4'!D34/'SHEET-4'!D19*10^6</f>
        <v>1199.085289210869</v>
      </c>
      <c r="E49" s="307">
        <f>'SHEET-4'!E34/'SHEET-4'!E19*10^6</f>
        <v>2665.953447448408</v>
      </c>
      <c r="F49" s="307">
        <f>'SHEET-4'!F34/'SHEET-4'!F19*10^6</f>
        <v>1221.9169903263937</v>
      </c>
      <c r="G49" s="307">
        <f>'SHEET-4'!G34/'SHEET-4'!G19*10^6</f>
        <v>2675.1200154391722</v>
      </c>
      <c r="H49" s="309">
        <f t="shared" si="6"/>
        <v>-1.868514907009031E-2</v>
      </c>
      <c r="I49" s="308">
        <f t="shared" si="7"/>
        <v>-3.4266006526287797E-3</v>
      </c>
      <c r="J49" s="5"/>
    </row>
    <row r="50" spans="1:10" ht="18" customHeight="1" thickBot="1">
      <c r="A50" s="13">
        <v>7</v>
      </c>
      <c r="B50" s="14" t="s">
        <v>1</v>
      </c>
      <c r="C50" s="27" t="s">
        <v>38</v>
      </c>
      <c r="D50" s="307"/>
      <c r="E50" s="307"/>
      <c r="F50" s="307"/>
      <c r="G50" s="307"/>
      <c r="H50" s="309"/>
      <c r="I50" s="308"/>
      <c r="J50" s="5"/>
    </row>
    <row r="51" spans="1:10" ht="24" thickBot="1">
      <c r="A51" s="13">
        <v>8</v>
      </c>
      <c r="B51" s="14" t="s">
        <v>9</v>
      </c>
      <c r="C51" s="27" t="s">
        <v>38</v>
      </c>
      <c r="D51" s="217">
        <f>'SHEET-4'!D36/'SHEET-4'!D21*10^6</f>
        <v>2951.8206392113216</v>
      </c>
      <c r="E51" s="217">
        <f>'SHEET-4'!E36/'SHEET-4'!E21*10^6</f>
        <v>6392.7174431547146</v>
      </c>
      <c r="F51" s="47">
        <f>'SHEET-4'!F36/'SHEET-4'!F21*10^6</f>
        <v>3054.3148607664734</v>
      </c>
      <c r="G51" s="223">
        <f>'SHEET-4'!G36/'SHEET-4'!G21*10^6</f>
        <v>6594.1204852495166</v>
      </c>
      <c r="H51" s="53">
        <f t="shared" si="6"/>
        <v>-3.3557189165962793E-2</v>
      </c>
      <c r="I51" s="94">
        <f t="shared" si="7"/>
        <v>-3.0542821069970343E-2</v>
      </c>
      <c r="J51" s="5"/>
    </row>
    <row r="52" spans="1:10" ht="24" thickBot="1">
      <c r="A52" s="13">
        <v>9</v>
      </c>
      <c r="B52" s="14" t="s">
        <v>10</v>
      </c>
      <c r="C52" s="27" t="s">
        <v>38</v>
      </c>
      <c r="D52" s="217">
        <f>'SHEET-4'!D37/'SHEET-4'!D22*10^6</f>
        <v>432.96478314666297</v>
      </c>
      <c r="E52" s="217">
        <f>'SHEET-4'!E37/'SHEET-4'!E22*10^6</f>
        <v>921.5490498315246</v>
      </c>
      <c r="F52" s="47">
        <f>'SHEET-4'!F37/'SHEET-4'!F22*10^6</f>
        <v>433.79250090811746</v>
      </c>
      <c r="G52" s="223">
        <f>'SHEET-4'!G37/'SHEET-4'!G22*10^6</f>
        <v>893.79313557754244</v>
      </c>
      <c r="H52" s="53">
        <f t="shared" si="6"/>
        <v>-1.9080960591105623E-3</v>
      </c>
      <c r="I52" s="94">
        <f t="shared" si="7"/>
        <v>3.1054069615389372E-2</v>
      </c>
      <c r="J52" s="5"/>
    </row>
    <row r="53" spans="1:10" ht="24" thickBot="1">
      <c r="A53" s="13">
        <v>10</v>
      </c>
      <c r="B53" s="14" t="s">
        <v>5</v>
      </c>
      <c r="C53" s="27" t="s">
        <v>38</v>
      </c>
      <c r="D53" s="217">
        <f>'SHEET-4'!D38/'SHEET-4'!D23*10^6</f>
        <v>889.97149671339628</v>
      </c>
      <c r="E53" s="217">
        <f>'SHEET-4'!E38/'SHEET-4'!E23*10^6</f>
        <v>3097.8128090279797</v>
      </c>
      <c r="F53" s="47">
        <f>'SHEET-4'!F38/'SHEET-4'!F23*10^6</f>
        <v>1028.2543725481412</v>
      </c>
      <c r="G53" s="223">
        <f>'SHEET-4'!G38/'SHEET-4'!G23*10^6</f>
        <v>3524.8593681003968</v>
      </c>
      <c r="H53" s="53">
        <f t="shared" si="6"/>
        <v>-0.13448313912058832</v>
      </c>
      <c r="I53" s="94">
        <f t="shared" si="7"/>
        <v>-0.12115279348082454</v>
      </c>
      <c r="J53" s="5"/>
    </row>
    <row r="54" spans="1:10" ht="24" thickBot="1">
      <c r="A54" s="13">
        <v>11</v>
      </c>
      <c r="B54" s="14" t="s">
        <v>11</v>
      </c>
      <c r="C54" s="27" t="s">
        <v>38</v>
      </c>
      <c r="D54" s="217">
        <f>'SHEET-4'!D39/'SHEET-4'!D24*10^6</f>
        <v>457.36035122105108</v>
      </c>
      <c r="E54" s="217">
        <f>'SHEET-4'!E39/'SHEET-4'!E24*10^6</f>
        <v>1037.7206269861529</v>
      </c>
      <c r="F54" s="47">
        <f>'SHEET-4'!F39/'SHEET-4'!F24*10^6</f>
        <v>463.5799220826114</v>
      </c>
      <c r="G54" s="223">
        <f>'SHEET-4'!G39/'SHEET-4'!G24*10^6</f>
        <v>1025.6311587461771</v>
      </c>
      <c r="H54" s="53">
        <f t="shared" si="6"/>
        <v>-1.341639394911495E-2</v>
      </c>
      <c r="I54" s="94">
        <f t="shared" si="7"/>
        <v>1.1787344930857016E-2</v>
      </c>
      <c r="J54" s="5"/>
    </row>
    <row r="55" spans="1:10" ht="24" thickBot="1">
      <c r="A55" s="15"/>
      <c r="B55" s="16" t="s">
        <v>12</v>
      </c>
      <c r="C55" s="28" t="s">
        <v>38</v>
      </c>
      <c r="D55" s="217">
        <f>'SHEET-4'!D40/'SHEET-4'!D25*10^6</f>
        <v>766.72747027343655</v>
      </c>
      <c r="E55" s="217">
        <f>'SHEET-4'!E40/'SHEET-4'!E25*10^6</f>
        <v>1670.2799617277965</v>
      </c>
      <c r="F55" s="127">
        <f>'SHEET-4'!F40/'SHEET-4'!F25*10^6</f>
        <v>782.98573946482929</v>
      </c>
      <c r="G55" s="127">
        <f>'SHEET-4'!G40/'SHEET-4'!G25*10^6</f>
        <v>1678.3223842332959</v>
      </c>
      <c r="H55" s="144">
        <f t="shared" si="6"/>
        <v>-2.0764451217853939E-2</v>
      </c>
      <c r="I55" s="145">
        <f>(E55-G55)/G55</f>
        <v>-4.7919413940090052E-3</v>
      </c>
      <c r="J55" s="5"/>
    </row>
    <row r="56" spans="1:10" ht="23.25">
      <c r="A56" s="8"/>
      <c r="B56" s="8"/>
      <c r="C56" s="8"/>
      <c r="D56" s="26"/>
      <c r="E56" s="26"/>
      <c r="F56" s="26"/>
      <c r="G56" s="48"/>
      <c r="H56" s="8"/>
      <c r="I56" s="8"/>
      <c r="J56" s="5"/>
    </row>
    <row r="57" spans="1:10">
      <c r="A57" s="5"/>
      <c r="B57" s="5"/>
      <c r="C57" s="5"/>
      <c r="D57" s="5"/>
      <c r="E57" s="5"/>
      <c r="F57" s="5"/>
      <c r="G57" s="5"/>
      <c r="H57" s="5"/>
      <c r="I57" s="5"/>
      <c r="J57" s="5"/>
    </row>
    <row r="58" spans="1:10" ht="12.75" customHeight="1">
      <c r="A58" s="258" t="s">
        <v>234</v>
      </c>
      <c r="B58" s="258"/>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ht="26.25">
      <c r="A61" s="5"/>
      <c r="B61" s="5"/>
      <c r="C61" s="5"/>
      <c r="D61" s="19"/>
      <c r="E61" s="5"/>
      <c r="F61" s="5"/>
      <c r="G61" s="5"/>
      <c r="H61" s="5"/>
      <c r="I61" s="5"/>
      <c r="J61" s="5"/>
    </row>
    <row r="62" spans="1:10">
      <c r="A62" s="5"/>
      <c r="B62" s="5"/>
      <c r="C62" s="5"/>
      <c r="D62" s="44"/>
      <c r="E62" s="5"/>
      <c r="F62" s="5"/>
      <c r="G62" s="5"/>
      <c r="H62" s="5"/>
      <c r="I62" s="5"/>
      <c r="J62" s="5"/>
    </row>
    <row r="63" spans="1:10" ht="24" thickBot="1">
      <c r="A63" s="5"/>
      <c r="B63" s="9"/>
      <c r="C63" s="5"/>
      <c r="D63" s="5"/>
      <c r="E63" s="5"/>
      <c r="F63" s="18"/>
      <c r="G63" s="5"/>
      <c r="H63" s="5"/>
      <c r="I63" s="5"/>
      <c r="J63" s="5"/>
    </row>
    <row r="64" spans="1:10" ht="23.25">
      <c r="A64" s="12"/>
      <c r="B64" s="17"/>
      <c r="C64" s="4"/>
      <c r="D64" s="29"/>
      <c r="E64" s="29"/>
      <c r="F64" s="29"/>
      <c r="G64" s="29"/>
      <c r="H64" s="5"/>
      <c r="I64" s="5"/>
      <c r="J64" s="5"/>
    </row>
    <row r="65" spans="1:10" ht="23.25">
      <c r="A65" s="13"/>
      <c r="B65" s="14"/>
      <c r="C65" s="27"/>
      <c r="D65" s="29"/>
      <c r="E65" s="29"/>
      <c r="F65" s="29"/>
      <c r="G65" s="29"/>
      <c r="H65" s="5"/>
      <c r="I65" s="5"/>
      <c r="J65" s="5"/>
    </row>
    <row r="66" spans="1:10" ht="23.25">
      <c r="A66" s="13"/>
      <c r="B66" s="14"/>
      <c r="C66" s="27"/>
      <c r="D66" s="29"/>
      <c r="E66" s="29"/>
      <c r="F66" s="29"/>
      <c r="G66" s="29"/>
      <c r="H66" s="5"/>
      <c r="I66" s="5"/>
      <c r="J66" s="5"/>
    </row>
    <row r="67" spans="1:10" ht="23.25">
      <c r="A67" s="13"/>
      <c r="B67" s="14"/>
      <c r="C67" s="27"/>
      <c r="D67" s="29"/>
      <c r="E67" s="29"/>
      <c r="F67" s="29"/>
      <c r="G67" s="29"/>
      <c r="H67" s="5"/>
      <c r="I67" s="5"/>
      <c r="J67" s="5"/>
    </row>
    <row r="68" spans="1:10" ht="23.25">
      <c r="A68" s="13"/>
      <c r="B68" s="14"/>
      <c r="C68" s="27"/>
      <c r="D68" s="45">
        <f>3.8</f>
        <v>3.8</v>
      </c>
      <c r="E68" s="29"/>
      <c r="F68" s="29"/>
      <c r="G68" s="29"/>
      <c r="H68" s="5"/>
      <c r="I68" s="5"/>
      <c r="J68" s="5"/>
    </row>
    <row r="69" spans="1:10" ht="23.25">
      <c r="A69" s="13"/>
      <c r="B69" s="14"/>
      <c r="C69" s="27"/>
      <c r="D69" s="45">
        <v>4.25</v>
      </c>
      <c r="E69" s="29"/>
      <c r="F69" s="29"/>
      <c r="G69" s="29"/>
    </row>
    <row r="70" spans="1:10" ht="23.25">
      <c r="A70" s="13"/>
      <c r="B70" s="14"/>
      <c r="C70" s="27"/>
      <c r="D70" s="45">
        <v>4.55</v>
      </c>
      <c r="E70" s="29"/>
      <c r="F70" s="29"/>
      <c r="G70" s="29"/>
    </row>
    <row r="71" spans="1:10" ht="23.25">
      <c r="A71" s="13"/>
      <c r="B71" s="14"/>
      <c r="C71" s="27"/>
      <c r="D71" s="45">
        <v>4.5999999999999996</v>
      </c>
      <c r="E71" s="29"/>
      <c r="F71" s="29"/>
      <c r="G71" s="29"/>
    </row>
    <row r="72" spans="1:10" ht="23.25">
      <c r="A72" s="13"/>
      <c r="B72" s="14"/>
      <c r="C72" s="27"/>
      <c r="D72" s="29"/>
      <c r="E72" s="29"/>
      <c r="F72" s="29"/>
      <c r="G72" s="29"/>
    </row>
    <row r="73" spans="1:10" ht="23.25">
      <c r="A73" s="13"/>
      <c r="B73" s="14"/>
      <c r="C73" s="27"/>
      <c r="D73" s="29"/>
      <c r="E73" s="29"/>
      <c r="F73" s="29"/>
      <c r="G73" s="29"/>
    </row>
    <row r="74" spans="1:10" ht="23.25">
      <c r="A74" s="13"/>
      <c r="B74" s="14"/>
      <c r="C74" s="27"/>
      <c r="D74" s="29"/>
      <c r="E74" s="29"/>
      <c r="F74" s="29"/>
      <c r="G74" s="29"/>
    </row>
    <row r="75" spans="1:10" ht="24" thickBot="1">
      <c r="A75" s="15"/>
      <c r="B75" s="16"/>
      <c r="C75" s="28"/>
      <c r="D75" s="29"/>
      <c r="E75" s="29"/>
      <c r="F75" s="29"/>
      <c r="G75" s="29"/>
    </row>
    <row r="76" spans="1:10" ht="23.25">
      <c r="D76" s="30"/>
      <c r="E76" s="30"/>
      <c r="F76" s="30"/>
      <c r="G76" s="30"/>
    </row>
  </sheetData>
  <mergeCells count="25">
    <mergeCell ref="F11:G11"/>
    <mergeCell ref="H19:H20"/>
    <mergeCell ref="I19:I20"/>
    <mergeCell ref="F13:G13"/>
    <mergeCell ref="E49:E50"/>
    <mergeCell ref="H49:H50"/>
    <mergeCell ref="G34:G35"/>
    <mergeCell ref="F49:F50"/>
    <mergeCell ref="G49:G50"/>
    <mergeCell ref="A5:I5"/>
    <mergeCell ref="A9:I9"/>
    <mergeCell ref="A7:I7"/>
    <mergeCell ref="H11:I11"/>
    <mergeCell ref="A58:B58"/>
    <mergeCell ref="H12:H13"/>
    <mergeCell ref="I12:I13"/>
    <mergeCell ref="D13:E13"/>
    <mergeCell ref="D11:E11"/>
    <mergeCell ref="D49:D50"/>
    <mergeCell ref="I49:I50"/>
    <mergeCell ref="H34:H35"/>
    <mergeCell ref="I34:I35"/>
    <mergeCell ref="F19:F20"/>
    <mergeCell ref="G19:G20"/>
    <mergeCell ref="F34:F35"/>
  </mergeCells>
  <phoneticPr fontId="1"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A1:M54"/>
  <sheetViews>
    <sheetView view="pageBreakPreview" topLeftCell="A19" zoomScale="60" zoomScaleNormal="60" workbookViewId="0">
      <selection activeCell="H19" sqref="H19"/>
    </sheetView>
  </sheetViews>
  <sheetFormatPr defaultRowHeight="12.75"/>
  <cols>
    <col min="1" max="1" width="8" style="86" customWidth="1"/>
    <col min="2" max="2" width="67" style="86" customWidth="1"/>
    <col min="3" max="3" width="49.5703125" style="86" customWidth="1"/>
    <col min="4" max="4" width="50.42578125" style="86" customWidth="1"/>
    <col min="5" max="5" width="24.7109375" style="86" customWidth="1"/>
    <col min="6" max="10" width="9.140625" style="86"/>
    <col min="11" max="12" width="13" style="86" bestFit="1" customWidth="1"/>
    <col min="13" max="13" width="17.5703125" style="86" bestFit="1" customWidth="1"/>
    <col min="14" max="16384" width="9.140625" style="86"/>
  </cols>
  <sheetData>
    <row r="1" spans="1:7" ht="33">
      <c r="E1" s="87" t="s">
        <v>228</v>
      </c>
    </row>
    <row r="4" spans="1:7" ht="37.5">
      <c r="A4" s="261" t="s">
        <v>0</v>
      </c>
      <c r="B4" s="261"/>
      <c r="C4" s="261"/>
      <c r="D4" s="261"/>
      <c r="E4" s="261"/>
    </row>
    <row r="5" spans="1:7" ht="18" customHeight="1">
      <c r="A5" s="88"/>
      <c r="B5" s="88"/>
      <c r="C5" s="88"/>
    </row>
    <row r="6" spans="1:7" ht="30">
      <c r="A6" s="262" t="s">
        <v>100</v>
      </c>
      <c r="B6" s="262"/>
      <c r="C6" s="262"/>
      <c r="D6" s="262"/>
      <c r="E6" s="262"/>
    </row>
    <row r="7" spans="1:7" ht="18" customHeight="1" thickBot="1"/>
    <row r="8" spans="1:7" ht="18" customHeight="1">
      <c r="A8" s="89"/>
      <c r="B8" s="90"/>
      <c r="C8" s="131" t="s">
        <v>106</v>
      </c>
      <c r="D8" s="131" t="s">
        <v>67</v>
      </c>
      <c r="E8" s="132" t="s">
        <v>17</v>
      </c>
    </row>
    <row r="9" spans="1:7" ht="18" customHeight="1">
      <c r="A9" s="91"/>
      <c r="B9" s="50"/>
      <c r="C9" s="155" t="s">
        <v>237</v>
      </c>
      <c r="D9" s="206" t="s">
        <v>238</v>
      </c>
      <c r="E9" s="31"/>
    </row>
    <row r="10" spans="1:7" ht="20.25">
      <c r="A10" s="91" t="s">
        <v>39</v>
      </c>
      <c r="B10" s="93" t="s">
        <v>85</v>
      </c>
      <c r="C10" s="151" t="s">
        <v>63</v>
      </c>
      <c r="D10" s="156" t="s">
        <v>63</v>
      </c>
      <c r="E10" s="133"/>
    </row>
    <row r="11" spans="1:7" ht="23.25">
      <c r="A11" s="91">
        <v>1</v>
      </c>
      <c r="B11" s="93" t="s">
        <v>86</v>
      </c>
      <c r="C11" s="152">
        <f>347848.605128636/100-C12</f>
        <v>3422.1821017563602</v>
      </c>
      <c r="D11" s="210">
        <v>3035.26</v>
      </c>
      <c r="E11" s="175">
        <f>(C11-D11)/D11</f>
        <v>0.12747576871713132</v>
      </c>
    </row>
    <row r="12" spans="1:7" ht="23.25">
      <c r="A12" s="91">
        <v>2</v>
      </c>
      <c r="B12" s="93" t="s">
        <v>87</v>
      </c>
      <c r="C12" s="152">
        <f>5630.394953/100</f>
        <v>56.303949529999997</v>
      </c>
      <c r="D12" s="210">
        <v>56.3</v>
      </c>
      <c r="E12" s="175">
        <f>(C12-D12)/D12</f>
        <v>7.0151509769091793E-5</v>
      </c>
      <c r="F12" s="196"/>
      <c r="G12" s="211"/>
    </row>
    <row r="13" spans="1:7" ht="23.25">
      <c r="A13" s="91">
        <v>3</v>
      </c>
      <c r="B13" s="93" t="s">
        <v>127</v>
      </c>
      <c r="C13" s="152">
        <f>3693.7295/100</f>
        <v>36.937294999999999</v>
      </c>
      <c r="D13" s="210">
        <v>36.9</v>
      </c>
      <c r="E13" s="175">
        <f>(C13-D13)/D13</f>
        <v>1.0107046070460786E-3</v>
      </c>
    </row>
    <row r="14" spans="1:7" ht="23.25">
      <c r="A14" s="91">
        <v>4</v>
      </c>
      <c r="B14" s="93" t="s">
        <v>88</v>
      </c>
      <c r="C14" s="152">
        <f>7233.1203429395/100</f>
        <v>72.331203429395003</v>
      </c>
      <c r="D14" s="210">
        <v>66.92</v>
      </c>
      <c r="E14" s="175">
        <f>(C14-D14)/D14</f>
        <v>8.0860780475119576E-2</v>
      </c>
    </row>
    <row r="15" spans="1:7" ht="23.25">
      <c r="A15" s="91">
        <v>5</v>
      </c>
      <c r="B15" s="93" t="s">
        <v>121</v>
      </c>
      <c r="C15" s="152">
        <f>SUM(C11:C14)</f>
        <v>3587.7545497157553</v>
      </c>
      <c r="D15" s="210">
        <f>SUM(D11:D14)</f>
        <v>3195.3800000000006</v>
      </c>
      <c r="E15" s="175">
        <f>(C15-D15)/D15</f>
        <v>0.1227943311017014</v>
      </c>
    </row>
    <row r="16" spans="1:7" ht="17.25" customHeight="1">
      <c r="A16" s="91"/>
      <c r="B16" s="93"/>
      <c r="C16" s="152"/>
      <c r="D16" s="210"/>
      <c r="E16" s="154"/>
    </row>
    <row r="17" spans="1:11" ht="23.25" customHeight="1">
      <c r="A17" s="91" t="s">
        <v>6</v>
      </c>
      <c r="B17" s="93" t="s">
        <v>89</v>
      </c>
      <c r="C17" s="157"/>
      <c r="D17" s="210"/>
      <c r="E17" s="154"/>
    </row>
    <row r="18" spans="1:11" ht="23.25">
      <c r="A18" s="91"/>
      <c r="B18" s="93" t="s">
        <v>90</v>
      </c>
      <c r="C18" s="157"/>
      <c r="D18" s="210"/>
      <c r="E18" s="154"/>
      <c r="K18" s="86" t="s">
        <v>129</v>
      </c>
    </row>
    <row r="19" spans="1:11" ht="18" customHeight="1">
      <c r="A19" s="91">
        <v>1</v>
      </c>
      <c r="B19" s="93" t="s">
        <v>110</v>
      </c>
      <c r="C19" s="249">
        <v>3103.38</v>
      </c>
      <c r="D19" s="249">
        <f>2719.62-12.42-22.88</f>
        <v>2684.3199999999997</v>
      </c>
      <c r="E19" s="312">
        <f>(C19-D19)/D19</f>
        <v>0.1561140251534841</v>
      </c>
    </row>
    <row r="20" spans="1:11" ht="18" customHeight="1">
      <c r="A20" s="91">
        <v>2</v>
      </c>
      <c r="B20" s="93" t="s">
        <v>91</v>
      </c>
      <c r="C20" s="250"/>
      <c r="D20" s="250"/>
      <c r="E20" s="313"/>
    </row>
    <row r="21" spans="1:11" ht="18" customHeight="1">
      <c r="A21" s="91">
        <v>3</v>
      </c>
      <c r="B21" s="93" t="s">
        <v>92</v>
      </c>
      <c r="C21" s="251"/>
      <c r="D21" s="251"/>
      <c r="E21" s="314"/>
    </row>
    <row r="22" spans="1:11" ht="23.25">
      <c r="A22" s="91">
        <v>4</v>
      </c>
      <c r="B22" s="93" t="s">
        <v>93</v>
      </c>
      <c r="C22" s="176"/>
      <c r="D22" s="210"/>
      <c r="E22" s="175">
        <v>0</v>
      </c>
    </row>
    <row r="23" spans="1:11" ht="25.5" customHeight="1">
      <c r="A23" s="91">
        <v>5</v>
      </c>
      <c r="B23" s="93" t="s">
        <v>94</v>
      </c>
      <c r="C23" s="176">
        <v>249.28</v>
      </c>
      <c r="D23" s="210">
        <v>244.26</v>
      </c>
      <c r="E23" s="175">
        <f>(C23-D23)/D23</f>
        <v>2.055187095717682E-2</v>
      </c>
    </row>
    <row r="24" spans="1:11" ht="23.25">
      <c r="A24" s="91">
        <v>6</v>
      </c>
      <c r="B24" s="93" t="s">
        <v>27</v>
      </c>
      <c r="C24" s="176">
        <v>21.262</v>
      </c>
      <c r="D24" s="210">
        <v>29.5</v>
      </c>
      <c r="E24" s="175">
        <f>(C24-D24)/D24</f>
        <v>-0.27925423728813559</v>
      </c>
    </row>
    <row r="25" spans="1:11" ht="23.25">
      <c r="A25" s="91">
        <v>7</v>
      </c>
      <c r="B25" s="93" t="s">
        <v>95</v>
      </c>
      <c r="C25" s="176">
        <v>39.377200000000002</v>
      </c>
      <c r="D25" s="210">
        <v>39.369999999999997</v>
      </c>
      <c r="E25" s="175">
        <f>(C25-D25)/D25</f>
        <v>1.8288036576084675E-4</v>
      </c>
    </row>
    <row r="26" spans="1:11" ht="23.25">
      <c r="A26" s="91">
        <v>8</v>
      </c>
      <c r="B26" s="93" t="s">
        <v>96</v>
      </c>
      <c r="C26" s="176">
        <v>5.1100000000000003</v>
      </c>
      <c r="D26" s="210">
        <v>14.24</v>
      </c>
      <c r="E26" s="175"/>
    </row>
    <row r="27" spans="1:11" ht="12.75" customHeight="1">
      <c r="A27" s="91"/>
      <c r="B27" s="93"/>
      <c r="C27" s="176"/>
      <c r="D27" s="210"/>
      <c r="E27" s="154"/>
    </row>
    <row r="28" spans="1:11" ht="23.25">
      <c r="A28" s="91">
        <v>9</v>
      </c>
      <c r="B28" s="93" t="s">
        <v>28</v>
      </c>
      <c r="C28" s="176">
        <v>132.72</v>
      </c>
      <c r="D28" s="210">
        <v>131.01</v>
      </c>
      <c r="E28" s="175">
        <f t="shared" ref="E28:E33" si="0">(C28-D28)/D28</f>
        <v>1.3052438745134022E-2</v>
      </c>
    </row>
    <row r="29" spans="1:11" ht="27" customHeight="1">
      <c r="A29" s="91">
        <v>10</v>
      </c>
      <c r="B29" s="93" t="s">
        <v>26</v>
      </c>
      <c r="C29" s="176">
        <v>30.21</v>
      </c>
      <c r="D29" s="210">
        <v>30.28</v>
      </c>
      <c r="E29" s="175">
        <f t="shared" si="0"/>
        <v>-2.3117569352708151E-3</v>
      </c>
    </row>
    <row r="30" spans="1:11" ht="23.25">
      <c r="A30" s="91">
        <v>11</v>
      </c>
      <c r="B30" s="93" t="s">
        <v>97</v>
      </c>
      <c r="C30" s="176">
        <v>0</v>
      </c>
      <c r="D30" s="210">
        <v>0</v>
      </c>
      <c r="E30" s="175"/>
    </row>
    <row r="31" spans="1:11" ht="23.25">
      <c r="A31" s="91">
        <v>12</v>
      </c>
      <c r="B31" s="93" t="s">
        <v>231</v>
      </c>
      <c r="C31" s="176">
        <v>0</v>
      </c>
      <c r="D31" s="210">
        <v>0</v>
      </c>
      <c r="E31" s="175">
        <v>0</v>
      </c>
    </row>
    <row r="32" spans="1:11" ht="23.25">
      <c r="A32" s="91">
        <v>13</v>
      </c>
      <c r="B32" s="93" t="s">
        <v>98</v>
      </c>
      <c r="C32" s="176">
        <v>-30</v>
      </c>
      <c r="D32" s="210">
        <v>-23.72</v>
      </c>
      <c r="E32" s="175"/>
    </row>
    <row r="33" spans="1:13" ht="23.25">
      <c r="A33" s="91">
        <v>14</v>
      </c>
      <c r="B33" s="93" t="s">
        <v>232</v>
      </c>
      <c r="C33" s="22">
        <f>SUM(C19:C32)</f>
        <v>3551.3392000000003</v>
      </c>
      <c r="D33" s="22">
        <f>SUM(D19:D32)</f>
        <v>3149.26</v>
      </c>
      <c r="E33" s="175">
        <f t="shared" si="0"/>
        <v>0.12767418377650624</v>
      </c>
    </row>
    <row r="34" spans="1:13" ht="15" customHeight="1">
      <c r="A34" s="91"/>
      <c r="B34" s="93"/>
      <c r="C34" s="22"/>
      <c r="D34" s="22"/>
      <c r="E34" s="183" t="s">
        <v>233</v>
      </c>
    </row>
    <row r="35" spans="1:13" ht="20.25" customHeight="1">
      <c r="A35" s="91" t="s">
        <v>46</v>
      </c>
      <c r="B35" s="93" t="s">
        <v>99</v>
      </c>
      <c r="C35" s="176">
        <f>C15-C33</f>
        <v>36.415349715754928</v>
      </c>
      <c r="D35" s="210">
        <f>+D15-D33</f>
        <v>46.120000000000346</v>
      </c>
      <c r="E35" s="175">
        <f>(C35-D35)/D35</f>
        <v>-0.21042173209551918</v>
      </c>
      <c r="F35" s="98"/>
      <c r="K35" s="134"/>
      <c r="L35" s="134"/>
      <c r="M35" s="135"/>
    </row>
    <row r="36" spans="1:13" ht="23.25">
      <c r="A36" s="91"/>
      <c r="B36" s="93"/>
      <c r="C36" s="20"/>
      <c r="D36" s="20"/>
      <c r="E36" s="141"/>
    </row>
    <row r="37" spans="1:13" ht="23.25" customHeight="1" thickBot="1">
      <c r="A37" s="315" t="s">
        <v>128</v>
      </c>
      <c r="B37" s="316"/>
      <c r="C37" s="316"/>
      <c r="D37" s="316"/>
      <c r="E37" s="317"/>
    </row>
    <row r="40" spans="1:13" ht="12.75" customHeight="1">
      <c r="A40" s="258" t="s">
        <v>234</v>
      </c>
      <c r="B40" s="258"/>
    </row>
    <row r="41" spans="1:13">
      <c r="D41" s="98"/>
    </row>
    <row r="44" spans="1:13" ht="20.100000000000001" customHeight="1">
      <c r="C44" s="25"/>
      <c r="D44" s="25"/>
    </row>
    <row r="45" spans="1:13" ht="20.100000000000001" customHeight="1"/>
    <row r="46" spans="1:13" ht="20.100000000000001" customHeight="1"/>
    <row r="47" spans="1:13" ht="20.100000000000001" customHeight="1"/>
    <row r="48" spans="1:13" ht="20.100000000000001" customHeight="1"/>
    <row r="49" spans="3:4" ht="20.100000000000001" customHeight="1">
      <c r="C49" s="25"/>
      <c r="D49" s="136"/>
    </row>
    <row r="50" spans="3:4" ht="20.100000000000001" customHeight="1"/>
    <row r="54" spans="3:4" ht="60" customHeight="1"/>
  </sheetData>
  <mergeCells count="7">
    <mergeCell ref="A40:B40"/>
    <mergeCell ref="A4:E4"/>
    <mergeCell ref="A6:E6"/>
    <mergeCell ref="E19:E21"/>
    <mergeCell ref="C19:C21"/>
    <mergeCell ref="D19:D21"/>
    <mergeCell ref="A37:E37"/>
  </mergeCells>
  <phoneticPr fontId="1"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A1:M110"/>
  <sheetViews>
    <sheetView topLeftCell="A55" workbookViewId="0">
      <selection activeCell="E69" sqref="E69"/>
    </sheetView>
  </sheetViews>
  <sheetFormatPr defaultRowHeight="15" customHeight="1"/>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c r="A1" s="32" t="s">
        <v>130</v>
      </c>
      <c r="B1" s="32" t="s">
        <v>131</v>
      </c>
      <c r="C1" s="33" t="s">
        <v>132</v>
      </c>
      <c r="D1" s="33" t="s">
        <v>133</v>
      </c>
      <c r="E1" s="33" t="s">
        <v>134</v>
      </c>
      <c r="F1" s="33" t="s">
        <v>135</v>
      </c>
      <c r="G1" s="33" t="s">
        <v>136</v>
      </c>
      <c r="H1" s="33" t="s">
        <v>137</v>
      </c>
      <c r="I1" s="33" t="s">
        <v>138</v>
      </c>
      <c r="J1" s="33" t="s">
        <v>139</v>
      </c>
      <c r="K1" s="33" t="s">
        <v>140</v>
      </c>
    </row>
    <row r="2" spans="1:11" ht="15" customHeight="1">
      <c r="A2" s="34" t="s">
        <v>141</v>
      </c>
      <c r="B2" s="34"/>
      <c r="C2" s="34"/>
      <c r="D2" s="34"/>
      <c r="E2" s="34"/>
      <c r="F2" s="34"/>
      <c r="G2" s="34"/>
      <c r="H2" s="34"/>
      <c r="I2" s="34"/>
      <c r="J2" s="34"/>
      <c r="K2" s="34"/>
    </row>
    <row r="3" spans="1:11" ht="15" customHeight="1">
      <c r="A3" s="35">
        <v>1</v>
      </c>
      <c r="B3" s="35" t="s">
        <v>2</v>
      </c>
      <c r="C3" s="36">
        <v>3116069269.4099998</v>
      </c>
      <c r="D3" s="36">
        <v>17043896.82</v>
      </c>
      <c r="E3" s="36">
        <v>172650.77</v>
      </c>
      <c r="F3" s="36">
        <v>343600985.27999997</v>
      </c>
      <c r="G3" s="36">
        <v>0</v>
      </c>
      <c r="H3" s="36">
        <v>73554896.5</v>
      </c>
      <c r="I3" s="36">
        <v>227109.15</v>
      </c>
      <c r="J3" s="36">
        <v>18633312.23</v>
      </c>
      <c r="K3" s="36">
        <v>3569302120.1599998</v>
      </c>
    </row>
    <row r="4" spans="1:11" ht="15" customHeight="1">
      <c r="A4" s="35">
        <v>2</v>
      </c>
      <c r="B4" s="35" t="s">
        <v>142</v>
      </c>
      <c r="C4" s="36">
        <v>71089139.950000003</v>
      </c>
      <c r="D4" s="36">
        <v>101753.87</v>
      </c>
      <c r="E4" s="36">
        <v>17040</v>
      </c>
      <c r="F4" s="36">
        <v>7364652.4699999997</v>
      </c>
      <c r="G4" s="36">
        <v>0</v>
      </c>
      <c r="H4" s="36">
        <v>748929.5</v>
      </c>
      <c r="I4" s="36">
        <v>23532.400000000001</v>
      </c>
      <c r="J4" s="36">
        <v>453786.14</v>
      </c>
      <c r="K4" s="36">
        <v>79798834.329999998</v>
      </c>
    </row>
    <row r="5" spans="1:11" ht="15" customHeight="1">
      <c r="A5" s="35">
        <v>3</v>
      </c>
      <c r="B5" s="35" t="s">
        <v>143</v>
      </c>
      <c r="C5" s="36">
        <v>2127392756.0799999</v>
      </c>
      <c r="D5" s="36">
        <v>10987310.15</v>
      </c>
      <c r="E5" s="36">
        <v>55383.85</v>
      </c>
      <c r="F5" s="36">
        <v>335242088.61000001</v>
      </c>
      <c r="G5" s="36">
        <v>0</v>
      </c>
      <c r="H5" s="36">
        <v>15904544</v>
      </c>
      <c r="I5" s="36">
        <v>285434.14</v>
      </c>
      <c r="J5" s="36">
        <v>5771228.1399999997</v>
      </c>
      <c r="K5" s="36">
        <v>2495638744.9699998</v>
      </c>
    </row>
    <row r="6" spans="1:11" ht="15" customHeight="1">
      <c r="A6" s="35"/>
      <c r="B6" s="35" t="s">
        <v>144</v>
      </c>
      <c r="C6" s="36">
        <v>78023457.159999996</v>
      </c>
      <c r="D6" s="36">
        <v>0</v>
      </c>
      <c r="E6" s="36">
        <v>0</v>
      </c>
      <c r="F6" s="36">
        <v>19271785.379999999</v>
      </c>
      <c r="G6" s="36">
        <v>0</v>
      </c>
      <c r="H6" s="36">
        <v>469841</v>
      </c>
      <c r="I6" s="36">
        <v>303675.78000000003</v>
      </c>
      <c r="J6" s="36">
        <v>245968.69</v>
      </c>
      <c r="K6" s="36">
        <v>98314728.010000005</v>
      </c>
    </row>
    <row r="7" spans="1:11" ht="15" customHeight="1">
      <c r="A7" s="35"/>
      <c r="B7" s="35" t="s">
        <v>145</v>
      </c>
      <c r="C7" s="36">
        <v>2205416213.2399998</v>
      </c>
      <c r="D7" s="36">
        <v>10987310.15</v>
      </c>
      <c r="E7" s="36">
        <v>55383.85</v>
      </c>
      <c r="F7" s="36">
        <v>354513873.99000001</v>
      </c>
      <c r="G7" s="36">
        <v>0</v>
      </c>
      <c r="H7" s="36">
        <v>16374385</v>
      </c>
      <c r="I7" s="36">
        <v>589109.92000000004</v>
      </c>
      <c r="J7" s="36">
        <v>6017196.8300000001</v>
      </c>
      <c r="K7" s="36">
        <v>2593953472.98</v>
      </c>
    </row>
    <row r="8" spans="1:11" ht="15" customHeight="1">
      <c r="A8" s="35">
        <v>4</v>
      </c>
      <c r="B8" s="35" t="s">
        <v>146</v>
      </c>
      <c r="C8" s="36">
        <v>229130849.12</v>
      </c>
      <c r="D8" s="36">
        <v>7024.2</v>
      </c>
      <c r="E8" s="36">
        <v>360</v>
      </c>
      <c r="F8" s="36">
        <v>3568735.55</v>
      </c>
      <c r="G8" s="36">
        <v>0</v>
      </c>
      <c r="H8" s="36">
        <v>1043824</v>
      </c>
      <c r="I8" s="36">
        <v>84685</v>
      </c>
      <c r="J8" s="36">
        <v>38964479.619999997</v>
      </c>
      <c r="K8" s="36">
        <v>272799957.49000001</v>
      </c>
    </row>
    <row r="9" spans="1:11" ht="15" customHeight="1">
      <c r="A9" s="35">
        <v>5</v>
      </c>
      <c r="B9" s="35" t="s">
        <v>5</v>
      </c>
      <c r="C9" s="36">
        <v>224828301.09</v>
      </c>
      <c r="D9" s="36">
        <v>1100948.82</v>
      </c>
      <c r="E9" s="36">
        <v>69162.009999999995</v>
      </c>
      <c r="F9" s="36">
        <v>32851.339999999997</v>
      </c>
      <c r="G9" s="36">
        <v>0</v>
      </c>
      <c r="H9" s="36">
        <v>6727882.5</v>
      </c>
      <c r="I9" s="36">
        <v>96521.78</v>
      </c>
      <c r="J9" s="36">
        <v>1507359.23</v>
      </c>
      <c r="K9" s="36">
        <v>234363026.77000001</v>
      </c>
    </row>
    <row r="10" spans="1:11" ht="15" customHeight="1">
      <c r="A10" s="35">
        <v>6</v>
      </c>
      <c r="B10" s="35" t="s">
        <v>147</v>
      </c>
      <c r="C10" s="36">
        <v>93088768.859999999</v>
      </c>
      <c r="D10" s="36">
        <v>0</v>
      </c>
      <c r="E10" s="36">
        <v>0</v>
      </c>
      <c r="F10" s="36">
        <v>833815.28</v>
      </c>
      <c r="G10" s="36">
        <v>0</v>
      </c>
      <c r="H10" s="36">
        <v>302109.5</v>
      </c>
      <c r="I10" s="36">
        <v>89765.18</v>
      </c>
      <c r="J10" s="36">
        <v>4559629.57</v>
      </c>
      <c r="K10" s="36">
        <v>98874088.390000001</v>
      </c>
    </row>
    <row r="11" spans="1:11" ht="15" customHeight="1">
      <c r="A11" s="35">
        <v>7</v>
      </c>
      <c r="B11" s="35" t="s">
        <v>148</v>
      </c>
      <c r="C11" s="36">
        <v>2188369.91</v>
      </c>
      <c r="D11" s="36">
        <v>52177.62</v>
      </c>
      <c r="E11" s="36">
        <v>0</v>
      </c>
      <c r="F11" s="36">
        <v>239472.02</v>
      </c>
      <c r="G11" s="36">
        <v>0</v>
      </c>
      <c r="H11" s="36">
        <v>183965.5</v>
      </c>
      <c r="I11" s="36">
        <v>10954.81</v>
      </c>
      <c r="J11" s="36">
        <v>1881544.86</v>
      </c>
      <c r="K11" s="36">
        <v>4556484.72</v>
      </c>
    </row>
    <row r="12" spans="1:11" ht="15" customHeight="1">
      <c r="A12" s="35">
        <v>8</v>
      </c>
      <c r="B12" s="35" t="s">
        <v>149</v>
      </c>
      <c r="C12" s="36">
        <v>1346751.03</v>
      </c>
      <c r="D12" s="36">
        <v>29611.200000000001</v>
      </c>
      <c r="E12" s="36">
        <v>0</v>
      </c>
      <c r="F12" s="36">
        <v>0</v>
      </c>
      <c r="G12" s="36">
        <v>0</v>
      </c>
      <c r="H12" s="36">
        <v>0</v>
      </c>
      <c r="I12" s="36">
        <v>0</v>
      </c>
      <c r="J12" s="36">
        <v>12750.19</v>
      </c>
      <c r="K12" s="36">
        <v>1389112.42</v>
      </c>
    </row>
    <row r="13" spans="1:11" ht="15" customHeight="1">
      <c r="A13" s="35">
        <v>9</v>
      </c>
      <c r="B13" s="35" t="s">
        <v>150</v>
      </c>
      <c r="C13" s="36">
        <v>0</v>
      </c>
      <c r="D13" s="36">
        <v>3642101.75</v>
      </c>
      <c r="E13" s="36">
        <v>0</v>
      </c>
      <c r="F13" s="36">
        <v>384932.08</v>
      </c>
      <c r="G13" s="36">
        <v>0</v>
      </c>
      <c r="H13" s="36">
        <v>0</v>
      </c>
      <c r="I13" s="36">
        <v>46327.9</v>
      </c>
      <c r="J13" s="36">
        <v>55.4</v>
      </c>
      <c r="K13" s="36">
        <v>4073417.13</v>
      </c>
    </row>
    <row r="14" spans="1:11" ht="15" customHeight="1">
      <c r="A14" s="35">
        <v>10</v>
      </c>
      <c r="B14" s="35" t="s">
        <v>151</v>
      </c>
      <c r="C14" s="36">
        <v>5861599084.5100002</v>
      </c>
      <c r="D14" s="36">
        <v>29240933.859999999</v>
      </c>
      <c r="E14" s="36">
        <v>314596.63</v>
      </c>
      <c r="F14" s="36">
        <v>690643128.52999997</v>
      </c>
      <c r="G14" s="36">
        <v>0</v>
      </c>
      <c r="H14" s="36">
        <v>98282186</v>
      </c>
      <c r="I14" s="36">
        <v>807047.65</v>
      </c>
      <c r="J14" s="36">
        <v>69889794.930000007</v>
      </c>
      <c r="K14" s="36">
        <v>6750776772.1099997</v>
      </c>
    </row>
    <row r="15" spans="1:11" ht="15" customHeight="1">
      <c r="A15" s="35">
        <v>11</v>
      </c>
      <c r="B15" s="35" t="s">
        <v>152</v>
      </c>
      <c r="C15" s="36">
        <v>3535120.94</v>
      </c>
      <c r="D15" s="36">
        <v>81788.820000000007</v>
      </c>
      <c r="E15" s="36">
        <v>0</v>
      </c>
      <c r="F15" s="36">
        <v>239472.02</v>
      </c>
      <c r="G15" s="36">
        <v>0</v>
      </c>
      <c r="H15" s="36">
        <v>183965.5</v>
      </c>
      <c r="I15" s="36">
        <v>10954.81</v>
      </c>
      <c r="J15" s="36">
        <v>1894295.05</v>
      </c>
      <c r="K15" s="36">
        <v>5945597.1399999997</v>
      </c>
    </row>
    <row r="16" spans="1:11" ht="15" customHeight="1">
      <c r="A16" s="35">
        <v>12</v>
      </c>
      <c r="B16" s="35" t="s">
        <v>153</v>
      </c>
      <c r="C16" s="36">
        <v>78023457.159999996</v>
      </c>
      <c r="D16" s="36">
        <v>3642101.75</v>
      </c>
      <c r="E16" s="36">
        <v>0</v>
      </c>
      <c r="F16" s="36">
        <v>19656717.460000001</v>
      </c>
      <c r="G16" s="36">
        <v>0</v>
      </c>
      <c r="H16" s="36">
        <v>469841</v>
      </c>
      <c r="I16" s="36">
        <v>350003.68</v>
      </c>
      <c r="J16" s="36">
        <v>246024.09</v>
      </c>
      <c r="K16" s="36">
        <v>102388145.14</v>
      </c>
    </row>
    <row r="17" spans="1:11" ht="15" customHeight="1">
      <c r="A17" s="35">
        <v>13</v>
      </c>
      <c r="B17" s="35" t="s">
        <v>154</v>
      </c>
      <c r="C17" s="36">
        <v>5943157662.6099997</v>
      </c>
      <c r="D17" s="36">
        <v>32964824.43</v>
      </c>
      <c r="E17" s="36">
        <v>314596.63</v>
      </c>
      <c r="F17" s="36">
        <v>710539318.00999999</v>
      </c>
      <c r="G17" s="36">
        <v>0</v>
      </c>
      <c r="H17" s="36">
        <v>98935992.5</v>
      </c>
      <c r="I17" s="36">
        <v>1168006.1399999999</v>
      </c>
      <c r="J17" s="36">
        <v>72030114.069999993</v>
      </c>
      <c r="K17" s="36">
        <v>6859110514.3900003</v>
      </c>
    </row>
    <row r="18" spans="1:11" ht="15" customHeight="1">
      <c r="A18" s="34" t="s">
        <v>141</v>
      </c>
      <c r="B18" s="34"/>
      <c r="C18" s="34"/>
      <c r="D18" s="34"/>
      <c r="E18" s="34"/>
      <c r="F18" s="34"/>
      <c r="G18" s="34"/>
      <c r="H18" s="34"/>
      <c r="I18" s="34"/>
      <c r="J18" s="34"/>
      <c r="K18" s="34"/>
    </row>
    <row r="19" spans="1:11" ht="15" customHeight="1">
      <c r="A19" s="37" t="s">
        <v>155</v>
      </c>
      <c r="B19" s="37"/>
      <c r="C19" s="37"/>
      <c r="D19" s="37"/>
      <c r="E19" s="37"/>
      <c r="F19" s="37"/>
      <c r="G19" s="37"/>
      <c r="H19" s="37"/>
      <c r="I19" s="37"/>
      <c r="J19" s="37"/>
      <c r="K19" s="37"/>
    </row>
    <row r="20" spans="1:11" ht="15" customHeight="1">
      <c r="A20" s="34" t="s">
        <v>141</v>
      </c>
      <c r="B20" s="34"/>
      <c r="C20" s="34"/>
      <c r="D20" s="34"/>
      <c r="E20" s="34"/>
      <c r="F20" s="34"/>
      <c r="G20" s="34"/>
      <c r="H20" s="34"/>
      <c r="I20" s="34"/>
      <c r="J20" s="34"/>
      <c r="K20" s="34"/>
    </row>
    <row r="21" spans="1:11" ht="15" customHeight="1">
      <c r="A21" s="32" t="s">
        <v>130</v>
      </c>
      <c r="B21" s="32" t="s">
        <v>131</v>
      </c>
      <c r="C21" s="33" t="s">
        <v>156</v>
      </c>
      <c r="D21" s="33" t="s">
        <v>157</v>
      </c>
      <c r="E21" s="33" t="s">
        <v>158</v>
      </c>
      <c r="F21" s="33" t="s">
        <v>159</v>
      </c>
      <c r="G21" s="33" t="s">
        <v>160</v>
      </c>
      <c r="H21" s="33" t="s">
        <v>161</v>
      </c>
      <c r="I21" s="33" t="s">
        <v>162</v>
      </c>
      <c r="J21" s="33" t="s">
        <v>163</v>
      </c>
      <c r="K21" s="33" t="s">
        <v>164</v>
      </c>
    </row>
    <row r="22" spans="1:11" ht="15" customHeight="1">
      <c r="A22" s="34" t="s">
        <v>141</v>
      </c>
      <c r="B22" s="34"/>
      <c r="C22" s="34"/>
      <c r="D22" s="34"/>
      <c r="E22" s="34"/>
      <c r="F22" s="34"/>
      <c r="G22" s="34"/>
      <c r="H22" s="34"/>
      <c r="I22" s="34"/>
      <c r="J22" s="34"/>
      <c r="K22" s="34"/>
    </row>
    <row r="23" spans="1:11" ht="15" customHeight="1">
      <c r="A23" s="35">
        <v>1</v>
      </c>
      <c r="B23" s="35" t="s">
        <v>2</v>
      </c>
      <c r="C23" s="36">
        <v>1178560</v>
      </c>
      <c r="D23" s="36">
        <v>547896815</v>
      </c>
      <c r="E23" s="36">
        <v>108936347.28</v>
      </c>
      <c r="F23" s="36">
        <v>2277778320.7800002</v>
      </c>
      <c r="G23" s="36">
        <v>698827103.16999996</v>
      </c>
      <c r="H23" s="36">
        <v>0</v>
      </c>
      <c r="I23" s="36">
        <v>23878038.489999998</v>
      </c>
      <c r="J23" s="36">
        <v>6649459.6900000004</v>
      </c>
      <c r="K23" s="36">
        <v>3116069269.4099998</v>
      </c>
    </row>
    <row r="24" spans="1:11" ht="15" customHeight="1">
      <c r="A24" s="35">
        <v>2</v>
      </c>
      <c r="B24" s="35" t="s">
        <v>142</v>
      </c>
      <c r="C24" s="36">
        <v>10324</v>
      </c>
      <c r="D24" s="36">
        <v>12238984</v>
      </c>
      <c r="E24" s="36">
        <v>3352066.04</v>
      </c>
      <c r="F24" s="36">
        <v>49361466.770000003</v>
      </c>
      <c r="G24" s="36">
        <v>14977587.99</v>
      </c>
      <c r="H24" s="36">
        <v>0</v>
      </c>
      <c r="I24" s="36">
        <v>3186689.16</v>
      </c>
      <c r="J24" s="36">
        <v>211329.99</v>
      </c>
      <c r="K24" s="36">
        <v>71089139.950000003</v>
      </c>
    </row>
    <row r="25" spans="1:11" ht="15" customHeight="1">
      <c r="A25" s="35">
        <v>3</v>
      </c>
      <c r="B25" s="35" t="s">
        <v>143</v>
      </c>
      <c r="C25" s="36">
        <v>141223</v>
      </c>
      <c r="D25" s="36">
        <v>308942121</v>
      </c>
      <c r="E25" s="36">
        <v>209816323.53</v>
      </c>
      <c r="F25" s="36">
        <v>1506771323.96</v>
      </c>
      <c r="G25" s="36">
        <v>383974357.43000001</v>
      </c>
      <c r="H25" s="36">
        <v>243868.04</v>
      </c>
      <c r="I25" s="36">
        <v>12422367.029999999</v>
      </c>
      <c r="J25" s="36">
        <v>14164516.09</v>
      </c>
      <c r="K25" s="36">
        <v>2127392756.0799999</v>
      </c>
    </row>
    <row r="26" spans="1:11" ht="15" customHeight="1">
      <c r="A26" s="35"/>
      <c r="B26" s="35" t="s">
        <v>144</v>
      </c>
      <c r="C26" s="36">
        <v>4704</v>
      </c>
      <c r="D26" s="36">
        <v>8930434</v>
      </c>
      <c r="E26" s="36">
        <v>26180158.879999999</v>
      </c>
      <c r="F26" s="36">
        <v>41354591.560000002</v>
      </c>
      <c r="G26" s="36">
        <v>10417808.65</v>
      </c>
      <c r="H26" s="36">
        <v>0</v>
      </c>
      <c r="I26" s="36">
        <v>0</v>
      </c>
      <c r="J26" s="36">
        <v>70898.070000000007</v>
      </c>
      <c r="K26" s="36">
        <v>78023457.159999996</v>
      </c>
    </row>
    <row r="27" spans="1:11" ht="15" customHeight="1">
      <c r="A27" s="35"/>
      <c r="B27" s="35" t="s">
        <v>145</v>
      </c>
      <c r="C27" s="36">
        <v>145927</v>
      </c>
      <c r="D27" s="36">
        <v>317872555</v>
      </c>
      <c r="E27" s="36">
        <v>235996482.41</v>
      </c>
      <c r="F27" s="36">
        <v>1548125915.52</v>
      </c>
      <c r="G27" s="36">
        <v>394392166.07999998</v>
      </c>
      <c r="H27" s="36">
        <v>243868.04</v>
      </c>
      <c r="I27" s="36">
        <v>12422367.029999999</v>
      </c>
      <c r="J27" s="36">
        <v>14235414.16</v>
      </c>
      <c r="K27" s="36">
        <v>2205416213.2399998</v>
      </c>
    </row>
    <row r="28" spans="1:11" ht="15" customHeight="1">
      <c r="A28" s="35">
        <v>4</v>
      </c>
      <c r="B28" s="35" t="s">
        <v>146</v>
      </c>
      <c r="C28" s="36">
        <v>8003</v>
      </c>
      <c r="D28" s="36">
        <v>48527153</v>
      </c>
      <c r="E28" s="36">
        <v>1355207.11</v>
      </c>
      <c r="F28" s="36">
        <v>164401308.53999999</v>
      </c>
      <c r="G28" s="36">
        <v>58237665.729999997</v>
      </c>
      <c r="H28" s="36">
        <v>0</v>
      </c>
      <c r="I28" s="36">
        <v>2690678.79</v>
      </c>
      <c r="J28" s="36">
        <v>2445988.9500000002</v>
      </c>
      <c r="K28" s="36">
        <v>229130849.12</v>
      </c>
    </row>
    <row r="29" spans="1:11" ht="15" customHeight="1">
      <c r="A29" s="35">
        <v>5</v>
      </c>
      <c r="B29" s="35" t="s">
        <v>5</v>
      </c>
      <c r="C29" s="36">
        <v>64962</v>
      </c>
      <c r="D29" s="36">
        <v>168792969</v>
      </c>
      <c r="E29" s="36">
        <v>32021768.899999999</v>
      </c>
      <c r="F29" s="36">
        <v>186279271.38999999</v>
      </c>
      <c r="G29" s="36">
        <v>0</v>
      </c>
      <c r="H29" s="36">
        <v>0</v>
      </c>
      <c r="I29" s="36">
        <v>5083644.16</v>
      </c>
      <c r="J29" s="36">
        <v>1443616.64</v>
      </c>
      <c r="K29" s="36">
        <v>224828301.09</v>
      </c>
    </row>
    <row r="30" spans="1:11" ht="15" customHeight="1">
      <c r="A30" s="35">
        <v>6</v>
      </c>
      <c r="B30" s="35" t="s">
        <v>147</v>
      </c>
      <c r="C30" s="36">
        <v>4333</v>
      </c>
      <c r="D30" s="36">
        <v>15223858</v>
      </c>
      <c r="E30" s="36">
        <v>212629.18</v>
      </c>
      <c r="F30" s="36">
        <v>71319701.260000005</v>
      </c>
      <c r="G30" s="36">
        <v>20672610.43</v>
      </c>
      <c r="H30" s="36">
        <v>0</v>
      </c>
      <c r="I30" s="36">
        <v>303088.92</v>
      </c>
      <c r="J30" s="36">
        <v>580739.06999999995</v>
      </c>
      <c r="K30" s="36">
        <v>93088768.859999999</v>
      </c>
    </row>
    <row r="31" spans="1:11" ht="15" customHeight="1">
      <c r="A31" s="35">
        <v>7</v>
      </c>
      <c r="B31" s="35" t="s">
        <v>148</v>
      </c>
      <c r="C31" s="36">
        <v>75006</v>
      </c>
      <c r="D31" s="36">
        <v>254352</v>
      </c>
      <c r="E31" s="36">
        <v>0</v>
      </c>
      <c r="F31" s="36">
        <v>0</v>
      </c>
      <c r="G31" s="36">
        <v>0</v>
      </c>
      <c r="H31" s="36">
        <v>0</v>
      </c>
      <c r="I31" s="36">
        <v>0</v>
      </c>
      <c r="J31" s="36">
        <v>2188369.91</v>
      </c>
      <c r="K31" s="36">
        <v>2188369.91</v>
      </c>
    </row>
    <row r="32" spans="1:11" ht="15" customHeight="1">
      <c r="A32" s="35">
        <v>8</v>
      </c>
      <c r="B32" s="35" t="s">
        <v>149</v>
      </c>
      <c r="C32" s="36">
        <v>2231</v>
      </c>
      <c r="D32" s="36">
        <v>0</v>
      </c>
      <c r="E32" s="36">
        <v>1316135.1299999999</v>
      </c>
      <c r="F32" s="36">
        <v>5130</v>
      </c>
      <c r="G32" s="36">
        <v>0</v>
      </c>
      <c r="H32" s="36">
        <v>0</v>
      </c>
      <c r="I32" s="36">
        <v>0</v>
      </c>
      <c r="J32" s="36">
        <v>25485.9</v>
      </c>
      <c r="K32" s="36">
        <v>1346751.03</v>
      </c>
    </row>
    <row r="33" spans="1:11" ht="15" customHeight="1">
      <c r="A33" s="35">
        <v>9</v>
      </c>
      <c r="B33" s="35" t="s">
        <v>150</v>
      </c>
      <c r="C33" s="36">
        <v>255</v>
      </c>
      <c r="D33" s="36">
        <v>740096</v>
      </c>
      <c r="E33" s="36">
        <v>0</v>
      </c>
      <c r="F33" s="36">
        <v>0</v>
      </c>
      <c r="G33" s="36">
        <v>0</v>
      </c>
      <c r="H33" s="36">
        <v>0</v>
      </c>
      <c r="I33" s="36">
        <v>0</v>
      </c>
      <c r="J33" s="36">
        <v>0</v>
      </c>
      <c r="K33" s="36">
        <v>0</v>
      </c>
    </row>
    <row r="34" spans="1:11" ht="15" customHeight="1">
      <c r="A34" s="35">
        <v>10</v>
      </c>
      <c r="B34" s="35" t="s">
        <v>151</v>
      </c>
      <c r="C34" s="36">
        <v>1407405</v>
      </c>
      <c r="D34" s="36">
        <v>1101621900</v>
      </c>
      <c r="E34" s="36">
        <v>355694342.04000002</v>
      </c>
      <c r="F34" s="36">
        <v>4255911392.6999998</v>
      </c>
      <c r="G34" s="36">
        <v>1176689324.75</v>
      </c>
      <c r="H34" s="36">
        <v>243868.04</v>
      </c>
      <c r="I34" s="36">
        <v>47564506.549999997</v>
      </c>
      <c r="J34" s="36">
        <v>25495650.43</v>
      </c>
      <c r="K34" s="36">
        <v>5861599084.5100002</v>
      </c>
    </row>
    <row r="35" spans="1:11" ht="15" customHeight="1">
      <c r="A35" s="35">
        <v>11</v>
      </c>
      <c r="B35" s="35" t="s">
        <v>165</v>
      </c>
      <c r="C35" s="36">
        <v>77237</v>
      </c>
      <c r="D35" s="36">
        <v>254352</v>
      </c>
      <c r="E35" s="36">
        <v>1316135.1299999999</v>
      </c>
      <c r="F35" s="36">
        <v>5130</v>
      </c>
      <c r="G35" s="36">
        <v>0</v>
      </c>
      <c r="H35" s="36">
        <v>0</v>
      </c>
      <c r="I35" s="36">
        <v>0</v>
      </c>
      <c r="J35" s="36">
        <v>2213855.81</v>
      </c>
      <c r="K35" s="36">
        <v>3535120.94</v>
      </c>
    </row>
    <row r="36" spans="1:11" ht="15" customHeight="1">
      <c r="A36" s="35">
        <v>12</v>
      </c>
      <c r="B36" s="35" t="s">
        <v>153</v>
      </c>
      <c r="C36" s="36">
        <v>4959</v>
      </c>
      <c r="D36" s="36">
        <v>9670530</v>
      </c>
      <c r="E36" s="36">
        <v>26180158.879999999</v>
      </c>
      <c r="F36" s="36">
        <v>41354591.560000002</v>
      </c>
      <c r="G36" s="36">
        <v>10417808.65</v>
      </c>
      <c r="H36" s="36">
        <v>0</v>
      </c>
      <c r="I36" s="36">
        <v>0</v>
      </c>
      <c r="J36" s="36">
        <v>70898.070000000007</v>
      </c>
      <c r="K36" s="36">
        <v>78023457.159999996</v>
      </c>
    </row>
    <row r="37" spans="1:11" ht="15" customHeight="1">
      <c r="A37" s="35">
        <v>13</v>
      </c>
      <c r="B37" s="35" t="s">
        <v>154</v>
      </c>
      <c r="C37" s="36">
        <v>1489601</v>
      </c>
      <c r="D37" s="36">
        <v>1111546782</v>
      </c>
      <c r="E37" s="36">
        <v>383190636.05000001</v>
      </c>
      <c r="F37" s="36">
        <v>4297271114.2600002</v>
      </c>
      <c r="G37" s="36">
        <v>1187107133.4000001</v>
      </c>
      <c r="H37" s="36">
        <v>243868.04</v>
      </c>
      <c r="I37" s="36">
        <v>47564506.549999997</v>
      </c>
      <c r="J37" s="36">
        <v>27780404.309999999</v>
      </c>
      <c r="K37" s="36">
        <v>5943157662.6099997</v>
      </c>
    </row>
    <row r="38" spans="1:11" ht="15" customHeight="1">
      <c r="A38" s="34" t="s">
        <v>141</v>
      </c>
      <c r="B38" s="34"/>
      <c r="C38" s="34"/>
      <c r="D38" s="34"/>
      <c r="E38" s="34"/>
      <c r="F38" s="34"/>
      <c r="G38" s="34"/>
      <c r="H38" s="34"/>
      <c r="I38" s="34"/>
      <c r="J38" s="34"/>
      <c r="K38" s="34"/>
    </row>
    <row r="39" spans="1:11" ht="15" customHeight="1">
      <c r="A39" s="38"/>
      <c r="B39" s="38"/>
      <c r="C39" s="38"/>
      <c r="D39" s="38"/>
      <c r="E39" s="38"/>
      <c r="F39" s="38"/>
      <c r="G39" s="38"/>
      <c r="H39" s="38"/>
      <c r="I39" s="38"/>
      <c r="J39" s="38"/>
      <c r="K39" s="38"/>
    </row>
    <row r="40" spans="1:11" ht="15" customHeight="1">
      <c r="A40" s="38"/>
      <c r="B40" s="38"/>
      <c r="C40" s="38"/>
      <c r="D40" s="38"/>
      <c r="E40" s="38"/>
      <c r="F40" s="38"/>
      <c r="G40" s="38"/>
      <c r="H40" s="38"/>
      <c r="I40" s="38"/>
      <c r="J40" s="38"/>
      <c r="K40" s="38"/>
    </row>
    <row r="41" spans="1:11" ht="15" customHeight="1">
      <c r="A41" s="34" t="s">
        <v>166</v>
      </c>
      <c r="B41" s="34"/>
      <c r="C41" s="34"/>
      <c r="D41" s="34"/>
      <c r="E41" s="34"/>
      <c r="F41" s="34"/>
      <c r="G41" s="34"/>
      <c r="H41" s="34"/>
      <c r="I41" s="34"/>
      <c r="J41" s="34"/>
      <c r="K41" s="34"/>
    </row>
    <row r="42" spans="1:11" ht="15" customHeight="1">
      <c r="A42" s="37" t="s">
        <v>167</v>
      </c>
      <c r="B42" s="37"/>
      <c r="C42" s="37"/>
      <c r="D42" s="37"/>
      <c r="E42" s="37" t="s">
        <v>168</v>
      </c>
      <c r="F42" s="37"/>
      <c r="G42" s="37"/>
      <c r="H42" s="37"/>
      <c r="I42" s="37" t="s">
        <v>169</v>
      </c>
      <c r="J42" s="37"/>
      <c r="K42" s="37"/>
    </row>
    <row r="43" spans="1:11" ht="15" customHeight="1">
      <c r="A43" s="37" t="s">
        <v>170</v>
      </c>
      <c r="B43" s="37"/>
      <c r="C43" s="37" t="s">
        <v>171</v>
      </c>
      <c r="D43" s="37"/>
      <c r="E43" s="37"/>
      <c r="F43" s="37" t="s">
        <v>172</v>
      </c>
      <c r="G43" s="37"/>
      <c r="H43" s="37"/>
      <c r="I43" s="37" t="s">
        <v>173</v>
      </c>
      <c r="J43" s="37"/>
      <c r="K43" s="37"/>
    </row>
    <row r="44" spans="1:11" ht="15" customHeight="1">
      <c r="A44" s="34" t="s">
        <v>141</v>
      </c>
      <c r="B44" s="34"/>
      <c r="C44" s="34"/>
      <c r="D44" s="34"/>
      <c r="E44" s="34"/>
      <c r="F44" s="34"/>
      <c r="G44" s="34"/>
      <c r="H44" s="34"/>
      <c r="I44" s="34"/>
      <c r="J44" s="34"/>
      <c r="K44" s="34"/>
    </row>
    <row r="45" spans="1:11" ht="15" customHeight="1">
      <c r="A45" s="32" t="s">
        <v>130</v>
      </c>
      <c r="B45" s="32" t="s">
        <v>131</v>
      </c>
      <c r="C45" s="33" t="s">
        <v>156</v>
      </c>
      <c r="D45" s="33" t="s">
        <v>157</v>
      </c>
      <c r="E45" s="33" t="s">
        <v>174</v>
      </c>
      <c r="F45" s="33" t="s">
        <v>140</v>
      </c>
      <c r="G45" s="33" t="s">
        <v>175</v>
      </c>
      <c r="H45" s="33" t="s">
        <v>176</v>
      </c>
      <c r="I45" s="33" t="s">
        <v>177</v>
      </c>
      <c r="J45" s="33" t="s">
        <v>178</v>
      </c>
      <c r="K45" s="33" t="s">
        <v>179</v>
      </c>
    </row>
    <row r="46" spans="1:11" ht="15" customHeight="1">
      <c r="A46" s="34" t="s">
        <v>141</v>
      </c>
      <c r="B46" s="34"/>
      <c r="C46" s="34"/>
      <c r="D46" s="34"/>
      <c r="E46" s="34"/>
      <c r="F46" s="34"/>
      <c r="G46" s="34"/>
      <c r="H46" s="34"/>
      <c r="I46" s="34"/>
      <c r="J46" s="34"/>
      <c r="K46" s="34"/>
    </row>
    <row r="47" spans="1:11" ht="15" customHeight="1">
      <c r="A47" s="35">
        <v>1</v>
      </c>
      <c r="B47" s="35" t="s">
        <v>2</v>
      </c>
      <c r="C47" s="36">
        <v>2384733</v>
      </c>
      <c r="D47" s="36">
        <v>547896815</v>
      </c>
      <c r="E47" s="36">
        <v>471836346.87</v>
      </c>
      <c r="F47" s="36">
        <v>3569302120.1599998</v>
      </c>
      <c r="G47" s="36">
        <v>2878352034.8699999</v>
      </c>
      <c r="H47" s="36">
        <v>472789935.75</v>
      </c>
      <c r="I47" s="36">
        <v>-16439782.75</v>
      </c>
      <c r="J47" s="36">
        <v>0</v>
      </c>
      <c r="K47" s="36">
        <v>673556713.65999997</v>
      </c>
    </row>
    <row r="48" spans="1:11" ht="15" customHeight="1">
      <c r="A48" s="35">
        <v>2</v>
      </c>
      <c r="B48" s="35" t="s">
        <v>142</v>
      </c>
      <c r="C48" s="36">
        <v>19847</v>
      </c>
      <c r="D48" s="36">
        <v>12238984</v>
      </c>
      <c r="E48" s="36">
        <v>3230329.29</v>
      </c>
      <c r="F48" s="36">
        <v>79798834.329999998</v>
      </c>
      <c r="G48" s="36">
        <v>58956568.950000003</v>
      </c>
      <c r="H48" s="36">
        <v>15631265.26</v>
      </c>
      <c r="I48" s="36">
        <v>-114228.36</v>
      </c>
      <c r="J48" s="36">
        <v>0</v>
      </c>
      <c r="K48" s="36">
        <v>8327101.0499999998</v>
      </c>
    </row>
    <row r="49" spans="1:11" ht="15" customHeight="1">
      <c r="A49" s="35">
        <v>3</v>
      </c>
      <c r="B49" s="35" t="s">
        <v>143</v>
      </c>
      <c r="C49" s="36">
        <v>260627</v>
      </c>
      <c r="D49" s="36">
        <v>308942121</v>
      </c>
      <c r="E49" s="36">
        <v>-156257486.13999999</v>
      </c>
      <c r="F49" s="36">
        <v>2495638744.9699998</v>
      </c>
      <c r="G49" s="36">
        <v>2019579574.79</v>
      </c>
      <c r="H49" s="36">
        <v>371874649.10000002</v>
      </c>
      <c r="I49" s="36">
        <v>-2477774.7599999998</v>
      </c>
      <c r="J49" s="36">
        <v>0</v>
      </c>
      <c r="K49" s="36">
        <v>-54550739.82</v>
      </c>
    </row>
    <row r="50" spans="1:11" ht="15" customHeight="1">
      <c r="A50" s="35"/>
      <c r="B50" s="35" t="s">
        <v>144</v>
      </c>
      <c r="C50" s="36">
        <v>6576</v>
      </c>
      <c r="D50" s="36">
        <v>8930434</v>
      </c>
      <c r="E50" s="36">
        <v>23443054.57</v>
      </c>
      <c r="F50" s="36">
        <v>98314728.010000005</v>
      </c>
      <c r="G50" s="36">
        <v>91619956.280000001</v>
      </c>
      <c r="H50" s="36">
        <v>4758739.3</v>
      </c>
      <c r="I50" s="36">
        <v>0</v>
      </c>
      <c r="J50" s="36">
        <v>0</v>
      </c>
      <c r="K50" s="36">
        <v>25379087</v>
      </c>
    </row>
    <row r="51" spans="1:11" ht="15" customHeight="1">
      <c r="A51" s="35"/>
      <c r="B51" s="35" t="s">
        <v>145</v>
      </c>
      <c r="C51" s="36">
        <v>267203</v>
      </c>
      <c r="D51" s="36">
        <v>317872555</v>
      </c>
      <c r="E51" s="36">
        <v>-132814431.56999999</v>
      </c>
      <c r="F51" s="36">
        <v>2593953472.98</v>
      </c>
      <c r="G51" s="36">
        <v>2111199531.0699999</v>
      </c>
      <c r="H51" s="36">
        <v>376633388.39999998</v>
      </c>
      <c r="I51" s="36">
        <v>-2477774.7599999998</v>
      </c>
      <c r="J51" s="36">
        <v>0</v>
      </c>
      <c r="K51" s="36">
        <v>-29171652.82</v>
      </c>
    </row>
    <row r="52" spans="1:11" ht="15" customHeight="1">
      <c r="A52" s="35">
        <v>4</v>
      </c>
      <c r="B52" s="35" t="s">
        <v>146</v>
      </c>
      <c r="C52" s="36">
        <v>13492</v>
      </c>
      <c r="D52" s="36">
        <v>48527153</v>
      </c>
      <c r="E52" s="36">
        <v>979163001.65999997</v>
      </c>
      <c r="F52" s="36">
        <v>272799957.49000001</v>
      </c>
      <c r="G52" s="36">
        <v>78442734.340000004</v>
      </c>
      <c r="H52" s="36">
        <v>152753672.34</v>
      </c>
      <c r="I52" s="36">
        <v>200807.96</v>
      </c>
      <c r="J52" s="36">
        <v>0</v>
      </c>
      <c r="K52" s="36">
        <v>1020967360.4299999</v>
      </c>
    </row>
    <row r="53" spans="1:11" ht="15" customHeight="1">
      <c r="A53" s="35">
        <v>5</v>
      </c>
      <c r="B53" s="35" t="s">
        <v>5</v>
      </c>
      <c r="C53" s="36">
        <v>99192</v>
      </c>
      <c r="D53" s="36">
        <v>168792969</v>
      </c>
      <c r="E53" s="36">
        <v>-22582241.07</v>
      </c>
      <c r="F53" s="36">
        <v>234363026.77000001</v>
      </c>
      <c r="G53" s="36">
        <v>168649386.06</v>
      </c>
      <c r="H53" s="36">
        <v>27290415.550000001</v>
      </c>
      <c r="I53" s="36">
        <v>-796393.56</v>
      </c>
      <c r="J53" s="36">
        <v>0</v>
      </c>
      <c r="K53" s="36">
        <v>15044590.529999999</v>
      </c>
    </row>
    <row r="54" spans="1:11" ht="15" customHeight="1">
      <c r="A54" s="35">
        <v>6</v>
      </c>
      <c r="B54" s="35" t="s">
        <v>147</v>
      </c>
      <c r="C54" s="36">
        <v>6456</v>
      </c>
      <c r="D54" s="36">
        <v>15223858</v>
      </c>
      <c r="E54" s="36">
        <v>113139182.73999999</v>
      </c>
      <c r="F54" s="36">
        <v>98874088.390000001</v>
      </c>
      <c r="G54" s="36">
        <v>71694102.209999993</v>
      </c>
      <c r="H54" s="36">
        <v>16941795.59</v>
      </c>
      <c r="I54" s="36">
        <v>-146960.23000000001</v>
      </c>
      <c r="J54" s="36">
        <v>0</v>
      </c>
      <c r="K54" s="36">
        <v>123230413.09999999</v>
      </c>
    </row>
    <row r="55" spans="1:11" ht="15" customHeight="1">
      <c r="A55" s="35">
        <v>7</v>
      </c>
      <c r="B55" s="35" t="s">
        <v>148</v>
      </c>
      <c r="C55" s="36">
        <v>135936</v>
      </c>
      <c r="D55" s="36">
        <v>254352</v>
      </c>
      <c r="E55" s="36">
        <v>282473331.19</v>
      </c>
      <c r="F55" s="36">
        <v>4556484.72</v>
      </c>
      <c r="G55" s="36">
        <v>9439530.5</v>
      </c>
      <c r="H55" s="36">
        <v>2520494.13</v>
      </c>
      <c r="I55" s="36">
        <v>19784981.780000001</v>
      </c>
      <c r="J55" s="36">
        <v>0</v>
      </c>
      <c r="K55" s="36">
        <v>294854773.06</v>
      </c>
    </row>
    <row r="56" spans="1:11" ht="15" customHeight="1">
      <c r="A56" s="35">
        <v>8</v>
      </c>
      <c r="B56" s="35" t="s">
        <v>149</v>
      </c>
      <c r="C56" s="36">
        <v>4324</v>
      </c>
      <c r="D56" s="36">
        <v>0</v>
      </c>
      <c r="E56" s="36">
        <v>1332331.42</v>
      </c>
      <c r="F56" s="36">
        <v>1389112.42</v>
      </c>
      <c r="G56" s="36">
        <v>567985.43999999994</v>
      </c>
      <c r="H56" s="36">
        <v>568145.06000000006</v>
      </c>
      <c r="I56" s="36">
        <v>-10650.08</v>
      </c>
      <c r="J56" s="36">
        <v>0</v>
      </c>
      <c r="K56" s="36">
        <v>1574663.26</v>
      </c>
    </row>
    <row r="57" spans="1:11" ht="15" customHeight="1">
      <c r="A57" s="35">
        <v>9</v>
      </c>
      <c r="B57" s="35" t="s">
        <v>150</v>
      </c>
      <c r="C57" s="36">
        <v>2216</v>
      </c>
      <c r="D57" s="36">
        <v>740096</v>
      </c>
      <c r="E57" s="36">
        <v>53130210.409999996</v>
      </c>
      <c r="F57" s="36">
        <v>4073417.13</v>
      </c>
      <c r="G57" s="36">
        <v>3613576.49</v>
      </c>
      <c r="H57" s="36">
        <v>-29470.62</v>
      </c>
      <c r="I57" s="36">
        <v>0</v>
      </c>
      <c r="J57" s="36">
        <v>0</v>
      </c>
      <c r="K57" s="36">
        <v>53619521.670000002</v>
      </c>
    </row>
    <row r="58" spans="1:11" ht="15" customHeight="1">
      <c r="A58" s="35">
        <v>10</v>
      </c>
      <c r="B58" s="35" t="s">
        <v>180</v>
      </c>
      <c r="C58" s="36">
        <v>0</v>
      </c>
      <c r="D58" s="36">
        <v>0</v>
      </c>
      <c r="E58" s="36">
        <v>-747024.08</v>
      </c>
      <c r="F58" s="36">
        <v>0</v>
      </c>
      <c r="G58" s="36">
        <v>806193.65</v>
      </c>
      <c r="H58" s="36">
        <v>-910101.61</v>
      </c>
      <c r="I58" s="36">
        <v>0</v>
      </c>
      <c r="J58" s="36">
        <v>0</v>
      </c>
      <c r="K58" s="36">
        <v>-643116.12</v>
      </c>
    </row>
    <row r="59" spans="1:11" ht="15" customHeight="1">
      <c r="A59" s="35">
        <v>11</v>
      </c>
      <c r="B59" s="35" t="s">
        <v>181</v>
      </c>
      <c r="C59" s="36">
        <v>2784347</v>
      </c>
      <c r="D59" s="36">
        <v>1101621900</v>
      </c>
      <c r="E59" s="36">
        <v>1387782109.27</v>
      </c>
      <c r="F59" s="36">
        <v>6750776772.1099997</v>
      </c>
      <c r="G59" s="36">
        <v>5276480594.8699999</v>
      </c>
      <c r="H59" s="36">
        <v>1056371631.98</v>
      </c>
      <c r="I59" s="36">
        <v>-19774331.699999999</v>
      </c>
      <c r="J59" s="36">
        <v>0</v>
      </c>
      <c r="K59" s="36">
        <v>1785932322.8299999</v>
      </c>
    </row>
    <row r="60" spans="1:11" ht="15" customHeight="1">
      <c r="A60" s="35">
        <v>12</v>
      </c>
      <c r="B60" s="35" t="s">
        <v>165</v>
      </c>
      <c r="C60" s="36">
        <v>140260</v>
      </c>
      <c r="D60" s="36">
        <v>254352</v>
      </c>
      <c r="E60" s="36">
        <v>283805662.61000001</v>
      </c>
      <c r="F60" s="36">
        <v>5945597.1399999997</v>
      </c>
      <c r="G60" s="36">
        <v>10007515.939999999</v>
      </c>
      <c r="H60" s="36">
        <v>3088639.19</v>
      </c>
      <c r="I60" s="36">
        <v>19774331.699999999</v>
      </c>
      <c r="J60" s="36">
        <v>0</v>
      </c>
      <c r="K60" s="36">
        <v>296429436.31999999</v>
      </c>
    </row>
    <row r="61" spans="1:11" ht="15" customHeight="1">
      <c r="A61" s="35">
        <v>13</v>
      </c>
      <c r="B61" s="35" t="s">
        <v>153</v>
      </c>
      <c r="C61" s="36">
        <v>8792</v>
      </c>
      <c r="D61" s="36">
        <v>9670530</v>
      </c>
      <c r="E61" s="36">
        <v>76573264.980000004</v>
      </c>
      <c r="F61" s="36">
        <v>102388145.14</v>
      </c>
      <c r="G61" s="36">
        <v>95233532.769999996</v>
      </c>
      <c r="H61" s="36">
        <v>4729268.68</v>
      </c>
      <c r="I61" s="36">
        <v>0</v>
      </c>
      <c r="J61" s="36">
        <v>0</v>
      </c>
      <c r="K61" s="36">
        <v>78998608.670000002</v>
      </c>
    </row>
    <row r="62" spans="1:11" ht="15" customHeight="1">
      <c r="A62" s="35">
        <v>14</v>
      </c>
      <c r="B62" s="35" t="s">
        <v>154</v>
      </c>
      <c r="C62" s="36">
        <v>2933399</v>
      </c>
      <c r="D62" s="36">
        <v>1111546782</v>
      </c>
      <c r="E62" s="36">
        <v>1748161036.8599999</v>
      </c>
      <c r="F62" s="36">
        <v>6859110514.3900003</v>
      </c>
      <c r="G62" s="36">
        <v>5381721643.5799999</v>
      </c>
      <c r="H62" s="36">
        <v>1064189539.85</v>
      </c>
      <c r="I62" s="36">
        <v>0</v>
      </c>
      <c r="J62" s="36">
        <v>0</v>
      </c>
      <c r="K62" s="36">
        <v>2161360367.8200002</v>
      </c>
    </row>
    <row r="63" spans="1:11" ht="15" customHeight="1">
      <c r="A63" s="34" t="s">
        <v>141</v>
      </c>
      <c r="B63" s="34"/>
      <c r="C63" s="34"/>
      <c r="D63" s="34"/>
      <c r="E63" s="34"/>
      <c r="F63" s="34"/>
      <c r="G63" s="34"/>
      <c r="H63" s="34"/>
      <c r="I63" s="34"/>
      <c r="J63" s="34"/>
      <c r="K63" s="34"/>
    </row>
    <row r="64" spans="1:11" ht="15" customHeight="1">
      <c r="A64" s="34" t="s">
        <v>182</v>
      </c>
      <c r="B64" s="34"/>
      <c r="C64" s="34"/>
      <c r="D64" s="34"/>
      <c r="E64" s="34"/>
      <c r="F64" s="34"/>
      <c r="G64" s="34"/>
      <c r="H64" s="34"/>
      <c r="I64" s="34"/>
      <c r="J64" s="34"/>
      <c r="K64" s="34"/>
    </row>
    <row r="65" spans="1:11" ht="15" customHeight="1">
      <c r="A65" s="34" t="s">
        <v>141</v>
      </c>
      <c r="B65" s="34"/>
      <c r="C65" s="34"/>
      <c r="D65" s="34"/>
      <c r="E65" s="34"/>
      <c r="F65" s="34"/>
      <c r="G65" s="34"/>
      <c r="H65" s="34"/>
      <c r="I65" s="34"/>
      <c r="J65" s="34"/>
      <c r="K65" s="34"/>
    </row>
    <row r="66" spans="1:11" ht="15" customHeight="1">
      <c r="A66" s="32" t="s">
        <v>130</v>
      </c>
      <c r="B66" s="32" t="s">
        <v>131</v>
      </c>
      <c r="C66" s="33" t="s">
        <v>180</v>
      </c>
      <c r="D66" s="33" t="s">
        <v>183</v>
      </c>
      <c r="E66" s="33" t="s">
        <v>184</v>
      </c>
      <c r="F66" s="33" t="s">
        <v>185</v>
      </c>
      <c r="G66" s="33" t="s">
        <v>186</v>
      </c>
      <c r="H66" s="33" t="s">
        <v>187</v>
      </c>
      <c r="I66" s="33" t="s">
        <v>188</v>
      </c>
      <c r="J66" s="33" t="s">
        <v>189</v>
      </c>
      <c r="K66" s="36"/>
    </row>
    <row r="67" spans="1:11" ht="15" customHeight="1">
      <c r="A67" s="35"/>
      <c r="B67" s="35"/>
      <c r="C67" s="33" t="s">
        <v>190</v>
      </c>
      <c r="D67" s="33" t="s">
        <v>191</v>
      </c>
      <c r="E67" s="33" t="s">
        <v>192</v>
      </c>
      <c r="F67" s="33" t="s">
        <v>193</v>
      </c>
      <c r="G67" s="33" t="s">
        <v>194</v>
      </c>
      <c r="H67" s="33" t="s">
        <v>164</v>
      </c>
      <c r="I67" s="33" t="s">
        <v>195</v>
      </c>
      <c r="J67" s="33" t="s">
        <v>196</v>
      </c>
      <c r="K67" s="33" t="s">
        <v>145</v>
      </c>
    </row>
    <row r="68" spans="1:11" ht="15" customHeight="1">
      <c r="A68" s="34" t="s">
        <v>141</v>
      </c>
      <c r="B68" s="34"/>
      <c r="C68" s="34"/>
      <c r="D68" s="34"/>
      <c r="E68" s="34"/>
      <c r="F68" s="34"/>
      <c r="G68" s="34"/>
      <c r="H68" s="34"/>
      <c r="I68" s="34"/>
      <c r="J68" s="34"/>
      <c r="K68" s="34"/>
    </row>
    <row r="69" spans="1:11" ht="15" customHeight="1">
      <c r="A69" s="35">
        <v>1</v>
      </c>
      <c r="B69" s="35" t="s">
        <v>2</v>
      </c>
      <c r="C69" s="36">
        <v>676896.21</v>
      </c>
      <c r="D69" s="36">
        <v>396889374.73000002</v>
      </c>
      <c r="E69" s="36">
        <v>52620828.579999998</v>
      </c>
      <c r="F69" s="36">
        <v>-11156.78</v>
      </c>
      <c r="G69" s="36">
        <v>22613993.010000002</v>
      </c>
      <c r="H69" s="36">
        <v>0</v>
      </c>
      <c r="I69" s="36">
        <v>0</v>
      </c>
      <c r="J69" s="36">
        <v>0</v>
      </c>
      <c r="K69" s="36">
        <v>472789935.75</v>
      </c>
    </row>
    <row r="70" spans="1:11" ht="15" customHeight="1">
      <c r="A70" s="35">
        <v>2</v>
      </c>
      <c r="B70" s="35" t="s">
        <v>142</v>
      </c>
      <c r="C70" s="36">
        <v>510</v>
      </c>
      <c r="D70" s="36">
        <v>3998473.44</v>
      </c>
      <c r="E70" s="36">
        <v>2756635.8</v>
      </c>
      <c r="F70" s="36">
        <v>0</v>
      </c>
      <c r="G70" s="36">
        <v>1144315.07</v>
      </c>
      <c r="H70" s="36">
        <v>7701400.0800000001</v>
      </c>
      <c r="I70" s="36">
        <v>0</v>
      </c>
      <c r="J70" s="36">
        <v>29930.87</v>
      </c>
      <c r="K70" s="36">
        <v>15631265.26</v>
      </c>
    </row>
    <row r="71" spans="1:11" ht="15" customHeight="1">
      <c r="A71" s="35">
        <v>3</v>
      </c>
      <c r="B71" s="35" t="s">
        <v>143</v>
      </c>
      <c r="C71" s="36">
        <v>213935.94</v>
      </c>
      <c r="D71" s="36">
        <v>169089710.22999999</v>
      </c>
      <c r="E71" s="36">
        <v>70601060.400000006</v>
      </c>
      <c r="F71" s="36">
        <v>120635842.39</v>
      </c>
      <c r="G71" s="36">
        <v>11334100.140000001</v>
      </c>
      <c r="H71" s="36">
        <v>0</v>
      </c>
      <c r="I71" s="36">
        <v>0</v>
      </c>
      <c r="J71" s="36">
        <v>0</v>
      </c>
      <c r="K71" s="36">
        <v>371874649.10000002</v>
      </c>
    </row>
    <row r="72" spans="1:11" ht="15" customHeight="1">
      <c r="A72" s="35"/>
      <c r="B72" s="35" t="s">
        <v>144</v>
      </c>
      <c r="C72" s="36"/>
      <c r="D72" s="36">
        <v>1889298.78</v>
      </c>
      <c r="E72" s="36">
        <v>2864053.84</v>
      </c>
      <c r="F72" s="36">
        <v>5386.68</v>
      </c>
      <c r="G72" s="36"/>
      <c r="H72" s="36"/>
      <c r="I72" s="36"/>
      <c r="J72" s="36"/>
      <c r="K72" s="36">
        <v>4758739.3</v>
      </c>
    </row>
    <row r="73" spans="1:11" ht="15" customHeight="1">
      <c r="A73" s="35"/>
      <c r="B73" s="35" t="s">
        <v>145</v>
      </c>
      <c r="C73" s="36">
        <v>213935.94</v>
      </c>
      <c r="D73" s="36">
        <v>170979009.00999999</v>
      </c>
      <c r="E73" s="36">
        <v>73465114.239999995</v>
      </c>
      <c r="F73" s="36">
        <v>120641229.06999999</v>
      </c>
      <c r="G73" s="36">
        <v>11334100.140000001</v>
      </c>
      <c r="H73" s="36">
        <v>0</v>
      </c>
      <c r="I73" s="36">
        <v>0</v>
      </c>
      <c r="J73" s="36">
        <v>0</v>
      </c>
      <c r="K73" s="36">
        <v>376633388.39999998</v>
      </c>
    </row>
    <row r="74" spans="1:11" ht="15" customHeight="1">
      <c r="A74" s="35">
        <v>4</v>
      </c>
      <c r="B74" s="35" t="s">
        <v>146</v>
      </c>
      <c r="C74" s="36">
        <v>0</v>
      </c>
      <c r="D74" s="36">
        <v>11034658.880000001</v>
      </c>
      <c r="E74" s="36">
        <v>4158318.73</v>
      </c>
      <c r="F74" s="36">
        <v>4259002.55</v>
      </c>
      <c r="G74" s="36">
        <v>2660400.7999999998</v>
      </c>
      <c r="H74" s="36">
        <v>130641291.38</v>
      </c>
      <c r="I74" s="36">
        <v>0</v>
      </c>
      <c r="J74" s="36">
        <v>0</v>
      </c>
      <c r="K74" s="36">
        <v>152753672.34</v>
      </c>
    </row>
    <row r="75" spans="1:11" ht="15" customHeight="1">
      <c r="A75" s="35">
        <v>5</v>
      </c>
      <c r="B75" s="35" t="s">
        <v>5</v>
      </c>
      <c r="C75" s="36">
        <v>3944</v>
      </c>
      <c r="D75" s="36">
        <v>7038904.7400000002</v>
      </c>
      <c r="E75" s="36">
        <v>16782524.280000001</v>
      </c>
      <c r="F75" s="36">
        <v>0</v>
      </c>
      <c r="G75" s="36">
        <v>3465042.53</v>
      </c>
      <c r="H75" s="36">
        <v>0</v>
      </c>
      <c r="I75" s="36">
        <v>0</v>
      </c>
      <c r="J75" s="36">
        <v>0</v>
      </c>
      <c r="K75" s="36">
        <v>27290415.550000001</v>
      </c>
    </row>
    <row r="76" spans="1:11" ht="15" customHeight="1">
      <c r="A76" s="35">
        <v>6</v>
      </c>
      <c r="B76" s="35" t="s">
        <v>147</v>
      </c>
      <c r="C76" s="36">
        <v>14815.46</v>
      </c>
      <c r="D76" s="36">
        <v>14875892.949999999</v>
      </c>
      <c r="E76" s="36">
        <v>1945850.05</v>
      </c>
      <c r="F76" s="36">
        <v>-36525.760000000002</v>
      </c>
      <c r="G76" s="36">
        <v>141762.89000000001</v>
      </c>
      <c r="H76" s="36">
        <v>0</v>
      </c>
      <c r="I76" s="36">
        <v>0</v>
      </c>
      <c r="J76" s="36">
        <v>0</v>
      </c>
      <c r="K76" s="36">
        <v>16941795.59</v>
      </c>
    </row>
    <row r="77" spans="1:11" ht="15" customHeight="1">
      <c r="A77" s="35">
        <v>7</v>
      </c>
      <c r="B77" s="35" t="s">
        <v>148</v>
      </c>
      <c r="C77" s="36">
        <v>0</v>
      </c>
      <c r="D77" s="36">
        <v>1409218.22</v>
      </c>
      <c r="E77" s="36">
        <v>1097712.6200000001</v>
      </c>
      <c r="F77" s="36">
        <v>1805.77</v>
      </c>
      <c r="G77" s="36">
        <v>0</v>
      </c>
      <c r="H77" s="36">
        <v>658.4</v>
      </c>
      <c r="I77" s="36">
        <v>0</v>
      </c>
      <c r="J77" s="36">
        <v>11099.12</v>
      </c>
      <c r="K77" s="36">
        <v>2520494.13</v>
      </c>
    </row>
    <row r="78" spans="1:11" ht="15" customHeight="1">
      <c r="A78" s="35">
        <v>8</v>
      </c>
      <c r="B78" s="35" t="s">
        <v>149</v>
      </c>
      <c r="C78" s="36">
        <v>0</v>
      </c>
      <c r="D78" s="36">
        <v>1704.02</v>
      </c>
      <c r="E78" s="36">
        <v>549022.04</v>
      </c>
      <c r="F78" s="36">
        <v>17419</v>
      </c>
      <c r="G78" s="36">
        <v>0</v>
      </c>
      <c r="H78" s="36">
        <v>0</v>
      </c>
      <c r="I78" s="36">
        <v>0</v>
      </c>
      <c r="J78" s="36">
        <v>0</v>
      </c>
      <c r="K78" s="36">
        <v>568145.06000000006</v>
      </c>
    </row>
    <row r="79" spans="1:11" ht="15" customHeight="1">
      <c r="A79" s="35">
        <v>9</v>
      </c>
      <c r="B79" s="35" t="s">
        <v>150</v>
      </c>
      <c r="C79" s="36"/>
      <c r="D79" s="36">
        <v>4579.8</v>
      </c>
      <c r="E79" s="36">
        <v>-34050.42</v>
      </c>
      <c r="F79" s="36">
        <v>0</v>
      </c>
      <c r="G79" s="36"/>
      <c r="H79" s="36"/>
      <c r="I79" s="36"/>
      <c r="J79" s="36"/>
      <c r="K79" s="36">
        <v>-29470.62</v>
      </c>
    </row>
    <row r="80" spans="1:11" ht="15" customHeight="1">
      <c r="A80" s="35">
        <v>10</v>
      </c>
      <c r="B80" s="35" t="s">
        <v>180</v>
      </c>
      <c r="C80" s="36">
        <v>-910101.61</v>
      </c>
      <c r="D80" s="36">
        <v>0</v>
      </c>
      <c r="E80" s="36">
        <v>0</v>
      </c>
      <c r="F80" s="36">
        <v>0</v>
      </c>
      <c r="G80" s="36">
        <v>0</v>
      </c>
      <c r="H80" s="36">
        <v>0</v>
      </c>
      <c r="I80" s="36">
        <v>0</v>
      </c>
      <c r="J80" s="36">
        <v>0</v>
      </c>
      <c r="K80" s="36">
        <v>-910101.61</v>
      </c>
    </row>
    <row r="81" spans="1:13" ht="15" customHeight="1">
      <c r="A81" s="35">
        <v>11</v>
      </c>
      <c r="B81" s="35" t="s">
        <v>151</v>
      </c>
      <c r="C81" s="36">
        <v>0</v>
      </c>
      <c r="D81" s="36">
        <v>602927014.97000003</v>
      </c>
      <c r="E81" s="36">
        <v>148865217.84</v>
      </c>
      <c r="F81" s="36">
        <v>124847162.40000001</v>
      </c>
      <c r="G81" s="36">
        <v>41359614.439999998</v>
      </c>
      <c r="H81" s="36">
        <v>138342691.46000001</v>
      </c>
      <c r="I81" s="36">
        <v>0</v>
      </c>
      <c r="J81" s="36">
        <v>29930.87</v>
      </c>
      <c r="K81" s="36">
        <v>1056371631.98</v>
      </c>
    </row>
    <row r="82" spans="1:13" ht="15" customHeight="1">
      <c r="A82" s="35">
        <v>12</v>
      </c>
      <c r="B82" s="35" t="s">
        <v>165</v>
      </c>
      <c r="C82" s="36">
        <v>0</v>
      </c>
      <c r="D82" s="36">
        <v>1410922.24</v>
      </c>
      <c r="E82" s="36">
        <v>1646734.66</v>
      </c>
      <c r="F82" s="36">
        <v>19224.77</v>
      </c>
      <c r="G82" s="36">
        <v>0</v>
      </c>
      <c r="H82" s="36">
        <v>658.4</v>
      </c>
      <c r="I82" s="36">
        <v>0</v>
      </c>
      <c r="J82" s="36">
        <v>11099.12</v>
      </c>
      <c r="K82" s="36">
        <v>3088639.19</v>
      </c>
    </row>
    <row r="83" spans="1:13" ht="15" customHeight="1">
      <c r="A83" s="35">
        <v>13</v>
      </c>
      <c r="B83" s="35" t="s">
        <v>153</v>
      </c>
      <c r="C83" s="36">
        <v>0</v>
      </c>
      <c r="D83" s="36">
        <v>1893878.58</v>
      </c>
      <c r="E83" s="36">
        <v>2830003.42</v>
      </c>
      <c r="F83" s="36">
        <v>5386.68</v>
      </c>
      <c r="G83" s="36">
        <v>0</v>
      </c>
      <c r="H83" s="36">
        <v>0</v>
      </c>
      <c r="I83" s="36">
        <v>0</v>
      </c>
      <c r="J83" s="36">
        <v>0</v>
      </c>
      <c r="K83" s="36">
        <v>4729268.68</v>
      </c>
    </row>
    <row r="84" spans="1:13" ht="15" customHeight="1">
      <c r="A84" s="35">
        <v>14</v>
      </c>
      <c r="B84" s="35" t="s">
        <v>154</v>
      </c>
      <c r="C84" s="36">
        <v>0</v>
      </c>
      <c r="D84" s="36">
        <v>606231815.78999996</v>
      </c>
      <c r="E84" s="36">
        <v>153341955.91999999</v>
      </c>
      <c r="F84" s="36">
        <v>124871773.84999999</v>
      </c>
      <c r="G84" s="36">
        <v>41359614.439999998</v>
      </c>
      <c r="H84" s="36">
        <v>138343349.86000001</v>
      </c>
      <c r="I84" s="36">
        <v>0</v>
      </c>
      <c r="J84" s="36">
        <v>41029.99</v>
      </c>
      <c r="K84" s="36">
        <v>1064189539.85</v>
      </c>
    </row>
    <row r="85" spans="1:13" ht="15" customHeight="1">
      <c r="A85" s="34" t="s">
        <v>141</v>
      </c>
      <c r="B85" s="34"/>
      <c r="C85" s="34"/>
      <c r="D85" s="34"/>
      <c r="E85" s="34"/>
      <c r="F85" s="34"/>
      <c r="G85" s="34"/>
      <c r="H85" s="34"/>
      <c r="I85" s="34"/>
      <c r="J85" s="34"/>
      <c r="K85" s="34"/>
    </row>
    <row r="93" spans="1:13" ht="15" customHeight="1">
      <c r="B93" s="39" t="s">
        <v>197</v>
      </c>
      <c r="C93" s="39"/>
      <c r="D93" s="39"/>
      <c r="E93" s="39"/>
      <c r="F93" s="39"/>
    </row>
    <row r="94" spans="1:13" ht="15" customHeight="1">
      <c r="B94" s="40"/>
      <c r="C94" s="40"/>
      <c r="D94" s="40"/>
      <c r="E94" s="40"/>
      <c r="F94" s="40"/>
    </row>
    <row r="95" spans="1:13" ht="15" customHeight="1">
      <c r="B95" s="39" t="s">
        <v>198</v>
      </c>
      <c r="C95" s="39"/>
      <c r="D95" s="39"/>
      <c r="E95" s="39"/>
      <c r="F95" s="39"/>
      <c r="G95" s="39"/>
      <c r="H95" s="39"/>
      <c r="I95" s="39"/>
      <c r="J95" s="39"/>
      <c r="K95" s="39"/>
      <c r="L95" s="39"/>
      <c r="M95" s="39"/>
    </row>
    <row r="96" spans="1:13" ht="15" customHeight="1">
      <c r="B96" s="41" t="s">
        <v>199</v>
      </c>
      <c r="C96" s="42" t="s">
        <v>200</v>
      </c>
      <c r="D96" s="40" t="s">
        <v>201</v>
      </c>
      <c r="E96" s="40" t="s">
        <v>202</v>
      </c>
      <c r="F96" s="40" t="s">
        <v>203</v>
      </c>
      <c r="G96" s="40" t="s">
        <v>204</v>
      </c>
      <c r="H96" s="40" t="s">
        <v>205</v>
      </c>
      <c r="I96" s="40" t="s">
        <v>206</v>
      </c>
      <c r="J96" s="40" t="s">
        <v>207</v>
      </c>
      <c r="K96" s="40" t="s">
        <v>208</v>
      </c>
      <c r="L96" s="40" t="s">
        <v>209</v>
      </c>
      <c r="M96" s="40"/>
    </row>
    <row r="97" spans="2:13" ht="15" customHeight="1">
      <c r="B97" s="39" t="s">
        <v>198</v>
      </c>
      <c r="C97" s="39"/>
      <c r="D97" s="39"/>
      <c r="E97" s="39"/>
      <c r="F97" s="39"/>
      <c r="G97" s="39"/>
      <c r="H97" s="39"/>
      <c r="I97" s="39"/>
      <c r="J97" s="39"/>
      <c r="K97" s="39"/>
      <c r="L97" s="39"/>
      <c r="M97" s="39"/>
    </row>
    <row r="98" spans="2:13" ht="15" customHeight="1">
      <c r="B98" s="41">
        <v>1</v>
      </c>
      <c r="C98" s="42" t="s">
        <v>210</v>
      </c>
      <c r="D98" s="40">
        <v>692603720.38999999</v>
      </c>
      <c r="E98" s="40">
        <v>4495794941.0500002</v>
      </c>
      <c r="F98" s="40">
        <v>228089997.05000001</v>
      </c>
      <c r="G98" s="40">
        <v>1203211432.4200001</v>
      </c>
      <c r="H98" s="40">
        <v>0</v>
      </c>
      <c r="I98" s="40">
        <v>6730906.5899999999</v>
      </c>
      <c r="J98" s="40">
        <v>53726118.039999999</v>
      </c>
      <c r="K98" s="40">
        <v>-63618893.590000004</v>
      </c>
      <c r="L98" s="40">
        <v>-11142206.23</v>
      </c>
      <c r="M98" s="40"/>
    </row>
    <row r="99" spans="2:13" ht="15" customHeight="1">
      <c r="B99" s="41">
        <v>2</v>
      </c>
      <c r="C99" s="42" t="s">
        <v>211</v>
      </c>
      <c r="D99" s="40">
        <v>46307680</v>
      </c>
      <c r="E99" s="40">
        <v>454218764.30000001</v>
      </c>
      <c r="F99" s="40">
        <v>0</v>
      </c>
      <c r="G99" s="40">
        <v>109229986.54000001</v>
      </c>
      <c r="H99" s="40">
        <v>0</v>
      </c>
      <c r="I99" s="40">
        <v>0</v>
      </c>
      <c r="J99" s="40">
        <v>0</v>
      </c>
      <c r="K99" s="40">
        <v>-7437025.4000000004</v>
      </c>
      <c r="L99" s="40">
        <v>-4542187.6399999997</v>
      </c>
      <c r="M99" s="40"/>
    </row>
    <row r="100" spans="2:13" ht="15" customHeight="1">
      <c r="B100" s="41">
        <v>3</v>
      </c>
      <c r="C100" s="42" t="s">
        <v>212</v>
      </c>
      <c r="D100" s="40">
        <v>469560</v>
      </c>
      <c r="E100" s="40">
        <v>490835.9</v>
      </c>
      <c r="F100" s="40">
        <v>0</v>
      </c>
      <c r="G100" s="40">
        <v>0</v>
      </c>
      <c r="H100" s="40">
        <v>0</v>
      </c>
      <c r="I100" s="40">
        <v>37123.879999999997</v>
      </c>
      <c r="J100" s="40">
        <v>0</v>
      </c>
      <c r="K100" s="40">
        <v>-2045.39</v>
      </c>
      <c r="L100" s="40">
        <v>0</v>
      </c>
      <c r="M100" s="40"/>
    </row>
    <row r="101" spans="2:13" ht="15" customHeight="1">
      <c r="B101" s="41">
        <v>4</v>
      </c>
      <c r="C101" s="42" t="s">
        <v>213</v>
      </c>
      <c r="D101" s="40">
        <v>0</v>
      </c>
      <c r="E101" s="40">
        <v>0</v>
      </c>
      <c r="F101" s="40">
        <v>0</v>
      </c>
      <c r="G101" s="40">
        <v>0</v>
      </c>
      <c r="H101" s="40">
        <v>0</v>
      </c>
      <c r="I101" s="40">
        <v>0</v>
      </c>
      <c r="J101" s="40">
        <v>0</v>
      </c>
      <c r="K101" s="40">
        <v>0</v>
      </c>
      <c r="L101" s="40">
        <v>0</v>
      </c>
      <c r="M101" s="40"/>
    </row>
    <row r="102" spans="2:13" ht="15" customHeight="1">
      <c r="B102" s="41">
        <v>5</v>
      </c>
      <c r="C102" s="42" t="s">
        <v>214</v>
      </c>
      <c r="D102" s="40">
        <v>0</v>
      </c>
      <c r="E102" s="40">
        <v>0</v>
      </c>
      <c r="F102" s="40">
        <v>0</v>
      </c>
      <c r="G102" s="40">
        <v>0</v>
      </c>
      <c r="H102" s="40">
        <v>0</v>
      </c>
      <c r="I102" s="40">
        <v>0</v>
      </c>
      <c r="J102" s="40">
        <v>0</v>
      </c>
      <c r="K102" s="40">
        <v>0</v>
      </c>
      <c r="L102" s="40">
        <v>0</v>
      </c>
      <c r="M102" s="40"/>
    </row>
    <row r="103" spans="2:13" ht="15" customHeight="1">
      <c r="B103" s="41">
        <v>6</v>
      </c>
      <c r="C103" s="42" t="s">
        <v>215</v>
      </c>
      <c r="D103" s="40">
        <v>0</v>
      </c>
      <c r="E103" s="40">
        <v>0</v>
      </c>
      <c r="F103" s="40">
        <v>0</v>
      </c>
      <c r="G103" s="40">
        <v>0</v>
      </c>
      <c r="H103" s="40">
        <v>0</v>
      </c>
      <c r="I103" s="40">
        <v>0</v>
      </c>
      <c r="J103" s="40">
        <v>0</v>
      </c>
      <c r="K103" s="40">
        <v>0</v>
      </c>
      <c r="L103" s="40">
        <v>0</v>
      </c>
      <c r="M103" s="40"/>
    </row>
    <row r="104" spans="2:13" ht="15" customHeight="1">
      <c r="B104" s="41">
        <v>7</v>
      </c>
      <c r="C104" s="42" t="s">
        <v>216</v>
      </c>
      <c r="D104" s="40">
        <v>0</v>
      </c>
      <c r="E104" s="40">
        <v>0</v>
      </c>
      <c r="F104" s="40">
        <v>0</v>
      </c>
      <c r="G104" s="40">
        <v>0</v>
      </c>
      <c r="H104" s="40">
        <v>0</v>
      </c>
      <c r="I104" s="40">
        <v>0</v>
      </c>
      <c r="J104" s="40">
        <v>0</v>
      </c>
      <c r="K104" s="40">
        <v>0</v>
      </c>
      <c r="L104" s="40">
        <v>0</v>
      </c>
      <c r="M104" s="40"/>
    </row>
    <row r="105" spans="2:13" ht="15" customHeight="1">
      <c r="B105" s="41">
        <v>8</v>
      </c>
      <c r="C105" s="42" t="s">
        <v>217</v>
      </c>
      <c r="D105" s="40">
        <v>0</v>
      </c>
      <c r="E105" s="40">
        <v>0</v>
      </c>
      <c r="F105" s="40">
        <v>0</v>
      </c>
      <c r="G105" s="40">
        <v>0</v>
      </c>
      <c r="H105" s="40">
        <v>0</v>
      </c>
      <c r="I105" s="40">
        <v>0</v>
      </c>
      <c r="J105" s="40">
        <v>186372.62</v>
      </c>
      <c r="K105" s="40">
        <v>0</v>
      </c>
      <c r="L105" s="40">
        <v>0</v>
      </c>
      <c r="M105" s="40"/>
    </row>
    <row r="106" spans="2:13" ht="15" customHeight="1">
      <c r="B106" s="41">
        <v>9</v>
      </c>
      <c r="C106" s="42" t="s">
        <v>149</v>
      </c>
      <c r="D106" s="40">
        <v>9967895.7400000002</v>
      </c>
      <c r="E106" s="40">
        <v>0</v>
      </c>
      <c r="F106" s="40">
        <v>0</v>
      </c>
      <c r="G106" s="40">
        <v>0</v>
      </c>
      <c r="H106" s="40">
        <v>0</v>
      </c>
      <c r="I106" s="40">
        <v>0</v>
      </c>
      <c r="J106" s="40">
        <v>200288</v>
      </c>
      <c r="K106" s="40">
        <v>0</v>
      </c>
      <c r="L106" s="40">
        <v>0</v>
      </c>
      <c r="M106" s="40"/>
    </row>
    <row r="107" spans="2:13" ht="15" customHeight="1">
      <c r="B107" s="41">
        <v>10</v>
      </c>
      <c r="C107" s="42" t="s">
        <v>218</v>
      </c>
      <c r="D107" s="40">
        <v>1710700</v>
      </c>
      <c r="E107" s="40">
        <v>12852778</v>
      </c>
      <c r="F107" s="40">
        <v>380456.65</v>
      </c>
      <c r="G107" s="40">
        <v>3556151.92</v>
      </c>
      <c r="H107" s="40">
        <v>0</v>
      </c>
      <c r="I107" s="40">
        <v>384611.36</v>
      </c>
      <c r="J107" s="40">
        <v>0</v>
      </c>
      <c r="K107" s="40">
        <v>-84009.48</v>
      </c>
      <c r="L107" s="40">
        <v>0</v>
      </c>
      <c r="M107" s="40"/>
    </row>
    <row r="108" spans="2:13" ht="15" customHeight="1">
      <c r="B108" s="39" t="s">
        <v>198</v>
      </c>
      <c r="C108" s="39"/>
      <c r="D108" s="39"/>
      <c r="E108" s="39"/>
      <c r="F108" s="39"/>
      <c r="G108" s="39"/>
      <c r="H108" s="39"/>
      <c r="I108" s="39"/>
      <c r="J108" s="39"/>
      <c r="K108" s="39"/>
      <c r="L108" s="39"/>
      <c r="M108" s="39"/>
    </row>
    <row r="109" spans="2:13" ht="15" customHeight="1">
      <c r="B109" s="43" t="s">
        <v>219</v>
      </c>
      <c r="C109" s="43"/>
      <c r="D109" s="40">
        <v>751059556.13</v>
      </c>
      <c r="E109" s="40">
        <v>4963357319.25</v>
      </c>
      <c r="F109" s="40">
        <v>228470453.69999999</v>
      </c>
      <c r="G109" s="40">
        <v>1315997570.8800001</v>
      </c>
      <c r="H109" s="40">
        <v>0</v>
      </c>
      <c r="I109" s="40">
        <v>7152641.8300000001</v>
      </c>
      <c r="J109" s="40">
        <v>54112778.659999996</v>
      </c>
      <c r="K109" s="40">
        <v>-71141973.859999999</v>
      </c>
      <c r="L109" s="40">
        <v>-15684393.869999999</v>
      </c>
      <c r="M109" s="40"/>
    </row>
    <row r="110" spans="2:13" ht="15" customHeight="1">
      <c r="B110" s="39" t="s">
        <v>198</v>
      </c>
      <c r="C110" s="39"/>
      <c r="D110" s="39"/>
      <c r="E110" s="39"/>
      <c r="F110" s="39"/>
      <c r="G110" s="39"/>
      <c r="H110" s="39"/>
      <c r="I110" s="39"/>
      <c r="J110" s="39"/>
      <c r="K110" s="39"/>
      <c r="L110" s="39"/>
      <c r="M110" s="3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M13"/>
  <sheetViews>
    <sheetView view="pageBreakPreview" zoomScale="60" workbookViewId="0">
      <selection activeCell="T11" sqref="T11"/>
    </sheetView>
  </sheetViews>
  <sheetFormatPr defaultRowHeight="15"/>
  <cols>
    <col min="1" max="1" width="1.85546875" style="318" customWidth="1"/>
    <col min="2" max="2" width="4.7109375" style="318" customWidth="1"/>
    <col min="3" max="3" width="21.5703125" style="357" customWidth="1"/>
    <col min="4" max="4" width="6" style="318" customWidth="1"/>
    <col min="5" max="6" width="15.28515625" style="318" customWidth="1"/>
    <col min="7" max="7" width="9.7109375" style="318" customWidth="1"/>
    <col min="8" max="8" width="15.5703125" style="318" customWidth="1"/>
    <col min="9" max="9" width="21.7109375" style="318" customWidth="1"/>
    <col min="10" max="16384" width="9.140625" style="318"/>
  </cols>
  <sheetData>
    <row r="1" spans="2:13" ht="27" customHeight="1">
      <c r="B1" s="319" t="s">
        <v>240</v>
      </c>
      <c r="C1" s="319"/>
      <c r="D1" s="319"/>
      <c r="E1" s="319"/>
      <c r="F1" s="319"/>
      <c r="G1" s="319"/>
      <c r="H1" s="319"/>
      <c r="I1" s="320" t="s">
        <v>241</v>
      </c>
    </row>
    <row r="2" spans="2:13" ht="26.25" customHeight="1" thickBot="1">
      <c r="B2" s="321" t="s">
        <v>242</v>
      </c>
      <c r="C2" s="321"/>
      <c r="D2" s="321"/>
      <c r="E2" s="321"/>
      <c r="F2" s="321"/>
      <c r="G2" s="321"/>
      <c r="H2" s="321"/>
      <c r="I2" s="321"/>
    </row>
    <row r="3" spans="2:13" ht="48.75" customHeight="1">
      <c r="B3" s="322" t="s">
        <v>243</v>
      </c>
      <c r="C3" s="323" t="s">
        <v>239</v>
      </c>
      <c r="D3" s="324"/>
      <c r="E3" s="325" t="s">
        <v>244</v>
      </c>
      <c r="F3" s="326" t="s">
        <v>245</v>
      </c>
      <c r="G3" s="326"/>
      <c r="H3" s="327" t="s">
        <v>246</v>
      </c>
      <c r="I3" s="328"/>
      <c r="L3" s="329"/>
    </row>
    <row r="4" spans="2:13" ht="25.5" customHeight="1">
      <c r="B4" s="330"/>
      <c r="C4" s="331" t="s">
        <v>247</v>
      </c>
      <c r="D4" s="332" t="s">
        <v>248</v>
      </c>
      <c r="E4" s="333"/>
      <c r="F4" s="334">
        <v>77064</v>
      </c>
      <c r="G4" s="334"/>
      <c r="H4" s="334">
        <v>168719</v>
      </c>
      <c r="I4" s="335"/>
      <c r="K4" s="336"/>
      <c r="L4" s="337"/>
      <c r="M4" s="337"/>
    </row>
    <row r="5" spans="2:13" ht="25.5" customHeight="1">
      <c r="B5" s="330"/>
      <c r="C5" s="331" t="s">
        <v>249</v>
      </c>
      <c r="D5" s="332" t="s">
        <v>248</v>
      </c>
      <c r="E5" s="333"/>
      <c r="F5" s="334">
        <v>11217</v>
      </c>
      <c r="G5" s="334"/>
      <c r="H5" s="334">
        <v>17118</v>
      </c>
      <c r="I5" s="335"/>
      <c r="K5" s="336"/>
      <c r="L5" s="337"/>
      <c r="M5" s="337"/>
    </row>
    <row r="6" spans="2:13" ht="25.5" customHeight="1" thickBot="1">
      <c r="B6" s="338"/>
      <c r="C6" s="339" t="s">
        <v>250</v>
      </c>
      <c r="D6" s="340" t="s">
        <v>248</v>
      </c>
      <c r="E6" s="341"/>
      <c r="F6" s="342">
        <f>SUM(F4:F5)</f>
        <v>88281</v>
      </c>
      <c r="G6" s="342"/>
      <c r="H6" s="342">
        <f>SUM(H4:H5)</f>
        <v>185837</v>
      </c>
      <c r="I6" s="343"/>
      <c r="K6" s="344"/>
    </row>
    <row r="7" spans="2:13" s="345" customFormat="1" ht="48.75" customHeight="1">
      <c r="B7" s="322" t="s">
        <v>251</v>
      </c>
      <c r="C7" s="323" t="s">
        <v>252</v>
      </c>
      <c r="D7" s="324"/>
      <c r="E7" s="325" t="s">
        <v>253</v>
      </c>
      <c r="F7" s="325" t="s">
        <v>254</v>
      </c>
      <c r="G7" s="325" t="s">
        <v>255</v>
      </c>
      <c r="H7" s="325" t="s">
        <v>256</v>
      </c>
      <c r="I7" s="346" t="s">
        <v>257</v>
      </c>
      <c r="K7" s="318"/>
      <c r="L7" s="347"/>
      <c r="M7" s="347"/>
    </row>
    <row r="8" spans="2:13" ht="25.5" customHeight="1">
      <c r="B8" s="330"/>
      <c r="C8" s="331" t="str">
        <f t="shared" ref="C8:D10" si="0">C4</f>
        <v>Single Phase</v>
      </c>
      <c r="D8" s="332" t="str">
        <f t="shared" si="0"/>
        <v>No.</v>
      </c>
      <c r="E8" s="348">
        <v>138</v>
      </c>
      <c r="F8" s="349">
        <v>30144</v>
      </c>
      <c r="G8" s="348">
        <f>E8+F8</f>
        <v>30282</v>
      </c>
      <c r="H8" s="349">
        <v>27285</v>
      </c>
      <c r="I8" s="350">
        <f>G8-H8</f>
        <v>2997</v>
      </c>
    </row>
    <row r="9" spans="2:13" ht="25.5" customHeight="1">
      <c r="B9" s="330"/>
      <c r="C9" s="331" t="str">
        <f t="shared" si="0"/>
        <v>Three Phase</v>
      </c>
      <c r="D9" s="332" t="str">
        <f t="shared" si="0"/>
        <v>No.</v>
      </c>
      <c r="E9" s="348">
        <v>0</v>
      </c>
      <c r="F9" s="349">
        <v>2703</v>
      </c>
      <c r="G9" s="348">
        <f>E9+F9</f>
        <v>2703</v>
      </c>
      <c r="H9" s="349">
        <v>2457</v>
      </c>
      <c r="I9" s="350">
        <f>G9-H9</f>
        <v>246</v>
      </c>
    </row>
    <row r="10" spans="2:13" ht="25.5" customHeight="1" thickBot="1">
      <c r="B10" s="338"/>
      <c r="C10" s="339" t="str">
        <f t="shared" si="0"/>
        <v>Total</v>
      </c>
      <c r="D10" s="340" t="str">
        <f t="shared" si="0"/>
        <v>No.</v>
      </c>
      <c r="E10" s="351">
        <v>138</v>
      </c>
      <c r="F10" s="351">
        <f>F8+F9</f>
        <v>32847</v>
      </c>
      <c r="G10" s="351">
        <f t="shared" ref="G10:I10" si="1">SUM(G8:G9)</f>
        <v>32985</v>
      </c>
      <c r="H10" s="351">
        <f t="shared" si="1"/>
        <v>29742</v>
      </c>
      <c r="I10" s="352">
        <f t="shared" si="1"/>
        <v>3243</v>
      </c>
    </row>
    <row r="11" spans="2:13" s="353" customFormat="1" ht="50.25" customHeight="1" thickBot="1">
      <c r="B11" s="354" t="s">
        <v>258</v>
      </c>
      <c r="C11" s="355"/>
      <c r="D11" s="355"/>
      <c r="E11" s="355"/>
      <c r="F11" s="355"/>
      <c r="G11" s="355"/>
      <c r="H11" s="355"/>
      <c r="I11" s="356"/>
    </row>
    <row r="12" spans="2:13">
      <c r="C12" s="318"/>
      <c r="E12" s="337"/>
    </row>
    <row r="13" spans="2:13">
      <c r="C13" s="318"/>
    </row>
  </sheetData>
  <mergeCells count="15">
    <mergeCell ref="F6:G6"/>
    <mergeCell ref="H6:I6"/>
    <mergeCell ref="B7:B10"/>
    <mergeCell ref="C7:D7"/>
    <mergeCell ref="B11:I11"/>
    <mergeCell ref="B1:H1"/>
    <mergeCell ref="B2:I2"/>
    <mergeCell ref="B3:B6"/>
    <mergeCell ref="C3:D3"/>
    <mergeCell ref="F3:G3"/>
    <mergeCell ref="H3:I3"/>
    <mergeCell ref="F4:G4"/>
    <mergeCell ref="H4:I4"/>
    <mergeCell ref="F5:G5"/>
    <mergeCell ref="H5:I5"/>
  </mergeCells>
  <printOptions horizontalCentered="1" verticalCentered="1"/>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SHEET-1</vt:lpstr>
      <vt:lpstr>SHEET-2</vt:lpstr>
      <vt:lpstr>SHEET-3</vt:lpstr>
      <vt:lpstr>SHEET-4</vt:lpstr>
      <vt:lpstr>SHEET-5</vt:lpstr>
      <vt:lpstr>SHEET-6</vt:lpstr>
      <vt:lpstr>SHEET-7</vt:lpstr>
      <vt:lpstr>Sheet1</vt:lpstr>
      <vt:lpstr>Lab</vt:lpstr>
      <vt:lpstr>T&amp;D</vt:lpstr>
      <vt:lpstr>'SHEET-1'!Print_Area</vt:lpstr>
      <vt:lpstr>'SHEET-3'!Print_Area</vt:lpstr>
      <vt:lpstr>'SHEET-4'!Print_Area</vt:lpstr>
      <vt:lpstr>'SHEET-5'!Print_Area</vt:lpstr>
      <vt:lpstr>'SHEET-6'!Print_Area</vt:lpstr>
      <vt:lpstr>'SHEET-7'!Print_Area</vt:lpstr>
      <vt:lpstr>'T&amp;D'!Print_Area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ujparikh3442</cp:lastModifiedBy>
  <cp:lastPrinted>2019-12-19T07:03:07Z</cp:lastPrinted>
  <dcterms:created xsi:type="dcterms:W3CDTF">1996-10-14T23:33:28Z</dcterms:created>
  <dcterms:modified xsi:type="dcterms:W3CDTF">2019-12-19T07:03:30Z</dcterms:modified>
</cp:coreProperties>
</file>