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90" windowHeight="6855" activeTab="9"/>
  </bookViews>
  <sheets>
    <sheet name="SHEET-1" sheetId="24" r:id="rId1"/>
    <sheet name="SHEET-2" sheetId="25" r:id="rId2"/>
    <sheet name="SHEET-3" sheetId="26" r:id="rId3"/>
    <sheet name="SHEET-4" sheetId="32" r:id="rId4"/>
    <sheet name="SHEET-5" sheetId="33" r:id="rId5"/>
    <sheet name="SHEET-6 (2)" sheetId="34" r:id="rId6"/>
    <sheet name="SHEET-6" sheetId="30" state="hidden" r:id="rId7"/>
    <sheet name="SHEET-7" sheetId="31" r:id="rId8"/>
    <sheet name="Laboratory" sheetId="35" r:id="rId9"/>
    <sheet name="T&amp;D" sheetId="36" r:id="rId10"/>
  </sheets>
  <definedNames>
    <definedName name="_xlnm.Print_Area" localSheetId="8">Laboratory!$A$1:$H$18</definedName>
    <definedName name="_xlnm.Print_Area" localSheetId="0">'SHEET-1'!$A$1:$I$44</definedName>
    <definedName name="_xlnm.Print_Area" localSheetId="1">'SHEET-2'!$A$1:$I$36</definedName>
    <definedName name="_xlnm.Print_Area" localSheetId="2">'SHEET-3'!$A$1:$I$39</definedName>
    <definedName name="_xlnm.Print_Area" localSheetId="3">'SHEET-4'!$A$1:$I$45</definedName>
    <definedName name="_xlnm.Print_Area" localSheetId="4">'SHEET-5'!$A$1:$I$43</definedName>
    <definedName name="_xlnm.Print_Area" localSheetId="6">'SHEET-6'!$A$1:$I$58</definedName>
    <definedName name="_xlnm.Print_Area" localSheetId="5">'SHEET-6 (2)'!$A$1:$I$58</definedName>
    <definedName name="_xlnm.Print_Area" localSheetId="7">'SHEET-7'!$A$1:$E$38</definedName>
    <definedName name="_xlnm.Print_Area" localSheetId="9">'T&amp;D'!$A$1:$M$29</definedName>
  </definedNames>
  <calcPr calcId="124519"/>
  <fileRecoveryPr autoRecover="0"/>
</workbook>
</file>

<file path=xl/calcChain.xml><?xml version="1.0" encoding="utf-8"?>
<calcChain xmlns="http://schemas.openxmlformats.org/spreadsheetml/2006/main">
  <c r="L28" i="36"/>
  <c r="E28"/>
  <c r="L19"/>
  <c r="E19"/>
  <c r="L11"/>
  <c r="E11"/>
  <c r="F37" i="35" l="1"/>
  <c r="E37"/>
  <c r="F27"/>
  <c r="E27"/>
  <c r="F26"/>
  <c r="F28" s="1"/>
  <c r="E7" s="1"/>
  <c r="E26"/>
  <c r="E28" s="1"/>
  <c r="E6" s="1"/>
  <c r="F21"/>
  <c r="F23" s="1"/>
  <c r="F7" s="1"/>
  <c r="E21"/>
  <c r="E23" s="1"/>
  <c r="F6" s="1"/>
  <c r="E13"/>
  <c r="G12"/>
  <c r="G13" s="1"/>
  <c r="F12"/>
  <c r="H12" s="1"/>
  <c r="F11"/>
  <c r="H11" s="1"/>
  <c r="H13" s="1"/>
  <c r="F8" l="1"/>
  <c r="E8"/>
  <c r="F13"/>
  <c r="D11" i="31" l="1"/>
  <c r="H11" s="1"/>
  <c r="F25" i="26" l="1"/>
  <c r="H21" i="34" l="1"/>
  <c r="H22"/>
  <c r="F29" i="32"/>
  <c r="F19" i="26"/>
  <c r="F18"/>
  <c r="F27" i="24"/>
  <c r="F25"/>
  <c r="F17"/>
  <c r="F14" i="33" l="1"/>
  <c r="D23"/>
  <c r="F21"/>
  <c r="F36" i="32"/>
  <c r="F21" i="26"/>
  <c r="D35" i="24" l="1"/>
  <c r="E32"/>
  <c r="D23" i="32"/>
  <c r="E23" s="1"/>
  <c r="D21"/>
  <c r="E21" s="1"/>
  <c r="D19"/>
  <c r="E19" s="1"/>
  <c r="E18"/>
  <c r="E22" s="1"/>
  <c r="E24" s="1"/>
  <c r="E17"/>
  <c r="D17"/>
  <c r="E14"/>
  <c r="E25" l="1"/>
  <c r="D22"/>
  <c r="D24" s="1"/>
  <c r="D25" s="1"/>
  <c r="J25" i="26" l="1"/>
  <c r="J26"/>
  <c r="D32" i="24"/>
  <c r="D27"/>
  <c r="D17"/>
  <c r="D26" i="26"/>
  <c r="C20" i="31" l="1"/>
  <c r="G17" i="26" l="1"/>
  <c r="G18"/>
  <c r="J18" s="1"/>
  <c r="G19"/>
  <c r="J19" s="1"/>
  <c r="G20"/>
  <c r="J20" s="1"/>
  <c r="G21"/>
  <c r="J21" s="1"/>
  <c r="F13" i="34"/>
  <c r="D21" i="33"/>
  <c r="D19"/>
  <c r="D18"/>
  <c r="D14"/>
  <c r="F22" l="1"/>
  <c r="F17"/>
  <c r="F13"/>
  <c r="D38" i="32"/>
  <c r="D36"/>
  <c r="D34"/>
  <c r="D33"/>
  <c r="D29"/>
  <c r="F13"/>
  <c r="D25" i="26"/>
  <c r="D16"/>
  <c r="D14" i="25"/>
  <c r="D15" i="26" s="1"/>
  <c r="D13" i="32" s="1"/>
  <c r="D13" i="33" s="1"/>
  <c r="D13" i="34" s="1"/>
  <c r="F15" i="26" l="1"/>
  <c r="F14" i="25"/>
  <c r="G25" i="24"/>
  <c r="D15" i="31"/>
  <c r="D20"/>
  <c r="D33"/>
  <c r="D30"/>
  <c r="D29"/>
  <c r="D27"/>
  <c r="D26"/>
  <c r="D25"/>
  <c r="D24"/>
  <c r="D14"/>
  <c r="D13"/>
  <c r="F11" l="1"/>
  <c r="F13"/>
  <c r="F14"/>
  <c r="F15"/>
  <c r="F29"/>
  <c r="F30"/>
  <c r="F33"/>
  <c r="F27"/>
  <c r="F26"/>
  <c r="F25"/>
  <c r="F24"/>
  <c r="F21"/>
  <c r="I18" i="34" l="1"/>
  <c r="I21"/>
  <c r="J14" i="33" l="1"/>
  <c r="G11" i="31" l="1"/>
  <c r="J30" i="26" l="1"/>
  <c r="F47" i="24"/>
  <c r="E27" i="31" l="1"/>
  <c r="C16"/>
  <c r="G39" i="32" l="1"/>
  <c r="G32"/>
  <c r="F30"/>
  <c r="F32" s="1"/>
  <c r="G23"/>
  <c r="G21"/>
  <c r="G17"/>
  <c r="F17"/>
  <c r="G22" i="33"/>
  <c r="G24" s="1"/>
  <c r="G17"/>
  <c r="G31" i="26"/>
  <c r="K31" s="1"/>
  <c r="G30"/>
  <c r="K30" s="1"/>
  <c r="G27"/>
  <c r="J27" s="1"/>
  <c r="G23"/>
  <c r="J23" s="1"/>
  <c r="G22"/>
  <c r="J22" s="1"/>
  <c r="G28"/>
  <c r="F28" s="1"/>
  <c r="F37" i="24"/>
  <c r="G22"/>
  <c r="G26"/>
  <c r="G28" s="1"/>
  <c r="G29" s="1"/>
  <c r="F26"/>
  <c r="F28" s="1"/>
  <c r="F29" s="1"/>
  <c r="F22"/>
  <c r="D34" i="31"/>
  <c r="D16"/>
  <c r="F16" s="1"/>
  <c r="G22" i="32" l="1"/>
  <c r="G24" s="1"/>
  <c r="G25" s="1"/>
  <c r="F24"/>
  <c r="F25" s="1"/>
  <c r="G25" i="33"/>
  <c r="F24"/>
  <c r="F25" s="1"/>
  <c r="G40" i="32"/>
  <c r="D36" i="31"/>
  <c r="F39" i="32"/>
  <c r="F40" s="1"/>
  <c r="G24" i="26"/>
  <c r="G37" i="24"/>
  <c r="G33" i="26" l="1"/>
  <c r="J24"/>
  <c r="G29"/>
  <c r="K29" s="1"/>
  <c r="F24"/>
  <c r="F33" s="1"/>
  <c r="F34" i="24"/>
  <c r="F38" s="1"/>
  <c r="G34" l="1"/>
  <c r="G38" s="1"/>
  <c r="F21" i="25"/>
  <c r="G21"/>
  <c r="F16"/>
  <c r="G16"/>
  <c r="D15" i="33" l="1"/>
  <c r="E34"/>
  <c r="D49" i="30"/>
  <c r="D48" i="34"/>
  <c r="D30" i="32"/>
  <c r="D44" i="34"/>
  <c r="E49" i="30"/>
  <c r="E31" i="26"/>
  <c r="D31" s="1"/>
  <c r="E30"/>
  <c r="D30" s="1"/>
  <c r="E28"/>
  <c r="D28" s="1"/>
  <c r="E27"/>
  <c r="D27" s="1"/>
  <c r="E23"/>
  <c r="D23" s="1"/>
  <c r="E22"/>
  <c r="D22" s="1"/>
  <c r="E21"/>
  <c r="D21" s="1"/>
  <c r="E20"/>
  <c r="D20" s="1"/>
  <c r="E19"/>
  <c r="D19" s="1"/>
  <c r="E18"/>
  <c r="D18" s="1"/>
  <c r="E17"/>
  <c r="D17" s="1"/>
  <c r="D37" i="24"/>
  <c r="D22"/>
  <c r="E37"/>
  <c r="E22"/>
  <c r="E25" s="1"/>
  <c r="D25" s="1"/>
  <c r="C34" i="31"/>
  <c r="C36" s="1"/>
  <c r="E36" s="1"/>
  <c r="G53" i="34"/>
  <c r="F53"/>
  <c r="D51"/>
  <c r="E49"/>
  <c r="G48"/>
  <c r="F48"/>
  <c r="E48"/>
  <c r="G44"/>
  <c r="E44"/>
  <c r="I40"/>
  <c r="H40"/>
  <c r="I39"/>
  <c r="H39"/>
  <c r="I38"/>
  <c r="H38"/>
  <c r="I37"/>
  <c r="H37"/>
  <c r="I36"/>
  <c r="H36"/>
  <c r="I34"/>
  <c r="H34"/>
  <c r="I33"/>
  <c r="H33"/>
  <c r="I32"/>
  <c r="H32"/>
  <c r="I29"/>
  <c r="H29"/>
  <c r="I25"/>
  <c r="H25"/>
  <c r="I24"/>
  <c r="H24"/>
  <c r="I23"/>
  <c r="H23"/>
  <c r="I22"/>
  <c r="I19"/>
  <c r="H19"/>
  <c r="H18"/>
  <c r="I17"/>
  <c r="H17"/>
  <c r="I14"/>
  <c r="H14"/>
  <c r="G53" i="30"/>
  <c r="F53"/>
  <c r="G48"/>
  <c r="F48"/>
  <c r="G47"/>
  <c r="G45"/>
  <c r="I45" s="1"/>
  <c r="G44"/>
  <c r="G39" i="33"/>
  <c r="G25" i="25" s="1"/>
  <c r="G38" i="33"/>
  <c r="F38"/>
  <c r="G37"/>
  <c r="G36"/>
  <c r="G34"/>
  <c r="G33"/>
  <c r="F33"/>
  <c r="G29"/>
  <c r="F36"/>
  <c r="F34"/>
  <c r="G40"/>
  <c r="G26" i="25" s="1"/>
  <c r="F32" i="33"/>
  <c r="F24" i="25" s="1"/>
  <c r="F51" i="34"/>
  <c r="F45" i="30"/>
  <c r="F47" i="34"/>
  <c r="G51"/>
  <c r="G52"/>
  <c r="F52"/>
  <c r="E48" i="30"/>
  <c r="I48" s="1"/>
  <c r="E44"/>
  <c r="E38" i="33"/>
  <c r="E33"/>
  <c r="E29"/>
  <c r="D53" i="30"/>
  <c r="D51"/>
  <c r="H23" i="26" l="1"/>
  <c r="I23"/>
  <c r="D16" i="25"/>
  <c r="E16"/>
  <c r="I28" i="26"/>
  <c r="H28"/>
  <c r="E26" i="24"/>
  <c r="E28" s="1"/>
  <c r="E29" s="1"/>
  <c r="H22" i="26"/>
  <c r="I22"/>
  <c r="D37" i="32"/>
  <c r="I44" i="30"/>
  <c r="H45" i="34"/>
  <c r="H48"/>
  <c r="I48"/>
  <c r="E24" i="26"/>
  <c r="G32" i="33"/>
  <c r="G24" i="25" s="1"/>
  <c r="E36" i="33"/>
  <c r="D38"/>
  <c r="D49" i="34"/>
  <c r="D34" i="33"/>
  <c r="D48" i="30"/>
  <c r="H48" s="1"/>
  <c r="D53" i="34"/>
  <c r="D36" i="33"/>
  <c r="G54" i="34"/>
  <c r="E51"/>
  <c r="I51" s="1"/>
  <c r="E51" i="30"/>
  <c r="E53"/>
  <c r="E53" i="34"/>
  <c r="F29" i="33"/>
  <c r="F44" i="30"/>
  <c r="F47"/>
  <c r="F49"/>
  <c r="F52"/>
  <c r="F44" i="34"/>
  <c r="H44" s="1"/>
  <c r="H51"/>
  <c r="G49" i="30"/>
  <c r="G52"/>
  <c r="D33" i="33"/>
  <c r="H45" i="30"/>
  <c r="F51"/>
  <c r="H51" s="1"/>
  <c r="F49" i="34"/>
  <c r="D29" i="33"/>
  <c r="D44" i="30"/>
  <c r="F37" i="33"/>
  <c r="G51" i="30"/>
  <c r="I44" i="34"/>
  <c r="I45"/>
  <c r="G47"/>
  <c r="G49"/>
  <c r="I49" s="1"/>
  <c r="F39" i="33"/>
  <c r="F25" i="25" s="1"/>
  <c r="F40" i="33"/>
  <c r="F26" i="25" s="1"/>
  <c r="G55" i="34"/>
  <c r="F54" i="30"/>
  <c r="D26" i="24" l="1"/>
  <c r="D28" s="1"/>
  <c r="D29" s="1"/>
  <c r="H29" s="1"/>
  <c r="E21" i="25"/>
  <c r="I21" s="1"/>
  <c r="E33" i="26"/>
  <c r="I33" s="1"/>
  <c r="D24"/>
  <c r="H24" s="1"/>
  <c r="H49" i="34"/>
  <c r="G55" i="30"/>
  <c r="G54"/>
  <c r="F54" i="34"/>
  <c r="I51" i="30"/>
  <c r="F55"/>
  <c r="F55" i="34"/>
  <c r="D22" i="33"/>
  <c r="E22"/>
  <c r="I22" s="1"/>
  <c r="E37" i="32"/>
  <c r="E32"/>
  <c r="E34" i="31"/>
  <c r="E33"/>
  <c r="E30"/>
  <c r="E29"/>
  <c r="E26"/>
  <c r="E25"/>
  <c r="E24"/>
  <c r="E20"/>
  <c r="E16"/>
  <c r="E15"/>
  <c r="E14"/>
  <c r="E13"/>
  <c r="E11"/>
  <c r="I49" i="30"/>
  <c r="H49"/>
  <c r="H44"/>
  <c r="I40"/>
  <c r="H40"/>
  <c r="I39"/>
  <c r="H39"/>
  <c r="I38"/>
  <c r="H38"/>
  <c r="I37"/>
  <c r="H37"/>
  <c r="I36"/>
  <c r="H36"/>
  <c r="I34"/>
  <c r="H34"/>
  <c r="I33"/>
  <c r="H33"/>
  <c r="I32"/>
  <c r="H32"/>
  <c r="I29"/>
  <c r="H29"/>
  <c r="I25"/>
  <c r="H25"/>
  <c r="I24"/>
  <c r="H24"/>
  <c r="I23"/>
  <c r="H23"/>
  <c r="I22"/>
  <c r="H22"/>
  <c r="I19"/>
  <c r="H19"/>
  <c r="H18"/>
  <c r="I17"/>
  <c r="H17"/>
  <c r="I14"/>
  <c r="H14"/>
  <c r="I38" i="33"/>
  <c r="I36"/>
  <c r="I34"/>
  <c r="I33"/>
  <c r="I30"/>
  <c r="I29"/>
  <c r="I23"/>
  <c r="H38"/>
  <c r="I21"/>
  <c r="H36"/>
  <c r="I19"/>
  <c r="H19"/>
  <c r="H34"/>
  <c r="I18"/>
  <c r="E17"/>
  <c r="I17" s="1"/>
  <c r="I15"/>
  <c r="H30"/>
  <c r="I14"/>
  <c r="H14"/>
  <c r="H29"/>
  <c r="I38" i="32"/>
  <c r="H38"/>
  <c r="I36"/>
  <c r="H36"/>
  <c r="I34"/>
  <c r="H34"/>
  <c r="I33"/>
  <c r="I30"/>
  <c r="H30"/>
  <c r="I29"/>
  <c r="D32"/>
  <c r="I23"/>
  <c r="I21"/>
  <c r="I19"/>
  <c r="H18"/>
  <c r="H14"/>
  <c r="I14"/>
  <c r="I31" i="26"/>
  <c r="H31"/>
  <c r="I30"/>
  <c r="H30"/>
  <c r="I27"/>
  <c r="H27"/>
  <c r="I25"/>
  <c r="H25"/>
  <c r="I24"/>
  <c r="I21"/>
  <c r="H21"/>
  <c r="I20"/>
  <c r="H20"/>
  <c r="I19"/>
  <c r="H19"/>
  <c r="I18"/>
  <c r="H18"/>
  <c r="I17"/>
  <c r="H17"/>
  <c r="I16"/>
  <c r="H16"/>
  <c r="I16" i="25"/>
  <c r="H16"/>
  <c r="I37" i="24"/>
  <c r="H37"/>
  <c r="I35"/>
  <c r="H35"/>
  <c r="I29"/>
  <c r="I28"/>
  <c r="I27"/>
  <c r="H27"/>
  <c r="I26"/>
  <c r="I25"/>
  <c r="H25"/>
  <c r="I22"/>
  <c r="I17"/>
  <c r="H17"/>
  <c r="H26" l="1"/>
  <c r="H28"/>
  <c r="D21" i="25"/>
  <c r="H21" s="1"/>
  <c r="D33" i="26"/>
  <c r="H33" s="1"/>
  <c r="E32" i="33"/>
  <c r="E47" i="30"/>
  <c r="I47" s="1"/>
  <c r="E47" i="34"/>
  <c r="I47" s="1"/>
  <c r="E52" i="30"/>
  <c r="I52" s="1"/>
  <c r="E52" i="34"/>
  <c r="I52" s="1"/>
  <c r="I37" i="32"/>
  <c r="H17"/>
  <c r="D47" i="34"/>
  <c r="H47" s="1"/>
  <c r="D47" i="30"/>
  <c r="H47" s="1"/>
  <c r="E39" i="32"/>
  <c r="E40" s="1"/>
  <c r="D37" i="33"/>
  <c r="E37"/>
  <c r="I37" s="1"/>
  <c r="H33"/>
  <c r="H22" i="24"/>
  <c r="D17" i="33"/>
  <c r="D32" s="1"/>
  <c r="D24" i="25" s="1"/>
  <c r="H24" s="1"/>
  <c r="E24" i="33"/>
  <c r="H15"/>
  <c r="H18"/>
  <c r="H21"/>
  <c r="H23"/>
  <c r="H32" i="32"/>
  <c r="D39"/>
  <c r="H39" s="1"/>
  <c r="H37"/>
  <c r="I22"/>
  <c r="I17"/>
  <c r="H19"/>
  <c r="H21"/>
  <c r="H23"/>
  <c r="I32"/>
  <c r="H33"/>
  <c r="I18"/>
  <c r="H29"/>
  <c r="I32" i="33" l="1"/>
  <c r="E24" i="25"/>
  <c r="I24" s="1"/>
  <c r="E55" i="30"/>
  <c r="I55" s="1"/>
  <c r="E55" i="34"/>
  <c r="I55" s="1"/>
  <c r="E54"/>
  <c r="I54" s="1"/>
  <c r="E54" i="30"/>
  <c r="I54" s="1"/>
  <c r="I39" i="32"/>
  <c r="D52" i="34"/>
  <c r="H52" s="1"/>
  <c r="D52" i="30"/>
  <c r="H52" s="1"/>
  <c r="E25" i="33"/>
  <c r="E39"/>
  <c r="I24"/>
  <c r="H37"/>
  <c r="D24"/>
  <c r="D39" s="1"/>
  <c r="D25" i="25" s="1"/>
  <c r="H25" s="1"/>
  <c r="H22" i="33"/>
  <c r="H32"/>
  <c r="H17"/>
  <c r="H22" i="32"/>
  <c r="D40"/>
  <c r="I40"/>
  <c r="E34" i="24" l="1"/>
  <c r="I32"/>
  <c r="I25" i="33"/>
  <c r="E29" i="26"/>
  <c r="D29" s="1"/>
  <c r="I39" i="33"/>
  <c r="E25" i="25"/>
  <c r="I25" s="1"/>
  <c r="E40" i="33"/>
  <c r="D54" i="34"/>
  <c r="H54" s="1"/>
  <c r="D54" i="30"/>
  <c r="H54" s="1"/>
  <c r="H40" i="32"/>
  <c r="H39" i="33"/>
  <c r="H24"/>
  <c r="D25"/>
  <c r="D40" s="1"/>
  <c r="D26" i="25" s="1"/>
  <c r="H26" s="1"/>
  <c r="I24" i="32"/>
  <c r="H24"/>
  <c r="D34" i="24" l="1"/>
  <c r="H32"/>
  <c r="E38"/>
  <c r="I38" s="1"/>
  <c r="I34"/>
  <c r="H29" i="26"/>
  <c r="I29"/>
  <c r="I40" i="33"/>
  <c r="E26" i="25"/>
  <c r="I26" s="1"/>
  <c r="D55" i="34"/>
  <c r="H55" s="1"/>
  <c r="D55" i="30"/>
  <c r="H55" s="1"/>
  <c r="H40" i="33"/>
  <c r="H25"/>
  <c r="I25" i="32"/>
  <c r="H25"/>
  <c r="D38" i="24" l="1"/>
  <c r="H38" s="1"/>
  <c r="H34"/>
</calcChain>
</file>

<file path=xl/sharedStrings.xml><?xml version="1.0" encoding="utf-8"?>
<sst xmlns="http://schemas.openxmlformats.org/spreadsheetml/2006/main" count="628" uniqueCount="219">
  <si>
    <t>MADHYA GUJARAT VIJ COMPANY LIMITED</t>
  </si>
  <si>
    <t>Industrial</t>
  </si>
  <si>
    <t>Residential</t>
  </si>
  <si>
    <t>Commercial</t>
  </si>
  <si>
    <t>H. T.</t>
  </si>
  <si>
    <t>Agricultural</t>
  </si>
  <si>
    <t>[B]</t>
  </si>
  <si>
    <t>Liecence</t>
  </si>
  <si>
    <t>Total H.T. + E.H.T.</t>
  </si>
  <si>
    <t>Other [Specify]</t>
  </si>
  <si>
    <t>Total L.T. Excluding Agricultural</t>
  </si>
  <si>
    <t>Total L. T. Including Agricultural</t>
  </si>
  <si>
    <t>Total H.T. + E.H.T. + L. T.</t>
  </si>
  <si>
    <t>Rs. In Crore</t>
  </si>
  <si>
    <t>Quarterly</t>
  </si>
  <si>
    <t>Cummulative</t>
  </si>
  <si>
    <t>% Change</t>
  </si>
  <si>
    <t>SALES REALISATION</t>
  </si>
  <si>
    <t>SALES REVENUE AMOUNT AND PAISE / UNIT</t>
  </si>
  <si>
    <t>III - SALES AND REVENUE DATA</t>
  </si>
  <si>
    <t>Paise / kwh</t>
  </si>
  <si>
    <t>[ 5 ]</t>
  </si>
  <si>
    <t>[ 6 ]</t>
  </si>
  <si>
    <t>M.KWH</t>
  </si>
  <si>
    <t>NOS. OF CONSUMERS AND UNIT SOLD</t>
  </si>
  <si>
    <t>Employees Cost</t>
  </si>
  <si>
    <t>Interest</t>
  </si>
  <si>
    <t>Repairs and Maintenance</t>
  </si>
  <si>
    <t>Depreciation</t>
  </si>
  <si>
    <t>Admin. And General Expenditure</t>
  </si>
  <si>
    <t>Total Cost Excluding Profit / Return</t>
  </si>
  <si>
    <t>Capital Expenditure</t>
  </si>
  <si>
    <t>New Long Term Borrowings</t>
  </si>
  <si>
    <t>Agricultural Subsidy Received</t>
  </si>
  <si>
    <t>Total [7 to 13]</t>
  </si>
  <si>
    <t>%</t>
  </si>
  <si>
    <t>Paise / KWH</t>
  </si>
  <si>
    <t>UNIT SOLD PER CONSUMER</t>
  </si>
  <si>
    <t>KWH</t>
  </si>
  <si>
    <t>[A]</t>
  </si>
  <si>
    <t>SALES REALISATION - FIXED CHARGES</t>
  </si>
  <si>
    <t>SALES REVENUE FIXED AND ENERGY CHARGE PAISE / UNIT AND UNITS SOLD PER CONSUMER</t>
  </si>
  <si>
    <t>FINANCIAL DATA - 3</t>
  </si>
  <si>
    <t>I - KEY PARAMETERS</t>
  </si>
  <si>
    <t>[ 3 ]</t>
  </si>
  <si>
    <t>NOS. OF UNITS SOLD</t>
  </si>
  <si>
    <t>[C]</t>
  </si>
  <si>
    <t>[D]</t>
  </si>
  <si>
    <t>POWER PURCHASE</t>
  </si>
  <si>
    <t>Total Purchase of Power</t>
  </si>
  <si>
    <t>ENERGY BALANCE SHEET</t>
  </si>
  <si>
    <t>Total Generation + Purchase of Power</t>
  </si>
  <si>
    <t>Units Sent Out</t>
  </si>
  <si>
    <t>T &amp; D Loss [4] / [2] * 100</t>
  </si>
  <si>
    <t>SALES, BILLING AND REALISATION</t>
  </si>
  <si>
    <t>Billed [Metered + Unmetered] with E. D.</t>
  </si>
  <si>
    <t>Billed - Theft Assessment</t>
  </si>
  <si>
    <t>Total Billed [1 + 2]</t>
  </si>
  <si>
    <t>Amount realised [Metered + Unmetered] with E. D.</t>
  </si>
  <si>
    <t>Amount realised against Theft of Energy</t>
  </si>
  <si>
    <t>Total Amount realised [4 + 5]</t>
  </si>
  <si>
    <t>Amount realised as % of amount billed [6] / [3]</t>
  </si>
  <si>
    <t>MUS</t>
  </si>
  <si>
    <t>Rs. In Crores</t>
  </si>
  <si>
    <t>I</t>
  </si>
  <si>
    <t>II</t>
  </si>
  <si>
    <t>III</t>
  </si>
  <si>
    <t>Previous Year</t>
  </si>
  <si>
    <t>POWER SUPPLY POSITION</t>
  </si>
  <si>
    <t>[ 1 ]</t>
  </si>
  <si>
    <t>Cost at Bus Bar</t>
  </si>
  <si>
    <t>Cost of Supply at LT [at 11 KV]</t>
  </si>
  <si>
    <t>Cost of Supply at HT [at 11 KV]</t>
  </si>
  <si>
    <t>Average Cost of Supply</t>
  </si>
  <si>
    <t>L. T.</t>
  </si>
  <si>
    <t>Average Sales Realisation</t>
  </si>
  <si>
    <t>Special Observation on above points</t>
  </si>
  <si>
    <t>COST OF SUPPLY</t>
  </si>
  <si>
    <t>Rs. /KWH</t>
  </si>
  <si>
    <t>COST OF SUPPLY - 2</t>
  </si>
  <si>
    <t>II - KEY PARAMETERS</t>
  </si>
  <si>
    <t>[ 2 ]</t>
  </si>
  <si>
    <t>Nos.</t>
  </si>
  <si>
    <t>Railway</t>
  </si>
  <si>
    <t>Previous Years</t>
  </si>
  <si>
    <t>REVENUE</t>
  </si>
  <si>
    <t>Sale of Electricity</t>
  </si>
  <si>
    <t>Misc. Revenue Recovery</t>
  </si>
  <si>
    <t>Other Income</t>
  </si>
  <si>
    <t>EXPENSES</t>
  </si>
  <si>
    <t>Operating Expenses</t>
  </si>
  <si>
    <t>Fixed</t>
  </si>
  <si>
    <t>Variable</t>
  </si>
  <si>
    <t>Fuel Expense</t>
  </si>
  <si>
    <t>Employee Cost</t>
  </si>
  <si>
    <t>Administrative and General Expenses</t>
  </si>
  <si>
    <t>Other Operating Costs</t>
  </si>
  <si>
    <t>Other Expenses [Prior Period]</t>
  </si>
  <si>
    <t>Taxes, If any</t>
  </si>
  <si>
    <t>Less : Expenses Capitalized</t>
  </si>
  <si>
    <t>Surplus [deficit] excluding rate of return</t>
  </si>
  <si>
    <t>IV - FINANCIAL DATA</t>
  </si>
  <si>
    <t>NOS. OF CONSUMERS [WITHOUT PDC]</t>
  </si>
  <si>
    <t>Railways</t>
  </si>
  <si>
    <t>SALES REALISATION - ENERGY CHARGES</t>
  </si>
  <si>
    <t>Total H.T. + E.H.T. + L. T. [WITHOUT P.D.C.]</t>
  </si>
  <si>
    <t>Current Year [Provisional]</t>
  </si>
  <si>
    <t>SALES REALISATION WITHOUT E. D.</t>
  </si>
  <si>
    <t>Sales Amount [Without E. D.] [Incl. T.C/FCA]</t>
  </si>
  <si>
    <t>Agricultural [Including Tariff Comp.]/[FPPPA]</t>
  </si>
  <si>
    <t>Power Purchase Costs net of trading Credit</t>
  </si>
  <si>
    <t>Purchase from GUVNL [Net of Trading Credit &amp; UI]</t>
  </si>
  <si>
    <t>Metered + Estimated Unmetered &amp; Unbilled Sales</t>
  </si>
  <si>
    <t>Purchase from Central Sector</t>
  </si>
  <si>
    <t>[a] Share</t>
  </si>
  <si>
    <t>[b] Actual Purchase</t>
  </si>
  <si>
    <t>T&amp;D Losses [2-3]</t>
  </si>
  <si>
    <t>6a</t>
  </si>
  <si>
    <t>Expenses Capitalized</t>
  </si>
  <si>
    <t>Other Revenue Related Income</t>
  </si>
  <si>
    <t>Cost of Power Purchase as % of Total Cost [1]/[8]</t>
  </si>
  <si>
    <t>Others [Water Works / Public Lighting]</t>
  </si>
  <si>
    <t>Total Income</t>
  </si>
  <si>
    <t>SALES REVENUE BILLED :</t>
  </si>
  <si>
    <t>Purchase From CPPS/Wind Farms/Solar</t>
  </si>
  <si>
    <t>Average Cost of Purchase of Power [Net]</t>
  </si>
  <si>
    <t>Total Expenses 1 to 13] With Tax</t>
  </si>
  <si>
    <t>Cost of Power Purchase [Net]</t>
  </si>
  <si>
    <t>NPT/GERC REPORT/APRIL, 2010 TO MARCH, 2011/</t>
  </si>
  <si>
    <t>Government Subsidy  FOR AG.</t>
  </si>
  <si>
    <t>NOTE  : Power Purchase Cost is based on provisional bills received from GUVNL.</t>
  </si>
  <si>
    <t xml:space="preserve">                  </t>
  </si>
  <si>
    <t>[ 4 ]</t>
  </si>
  <si>
    <t>[7]</t>
  </si>
  <si>
    <t>Cost of Supply at EHT [at 66 KV]</t>
  </si>
  <si>
    <t>3rd qtr</t>
  </si>
  <si>
    <r>
      <t xml:space="preserve">Agricultural </t>
    </r>
    <r>
      <rPr>
        <b/>
        <sz val="16"/>
        <color rgb="FFFF0000"/>
        <rFont val="Bookman Old Style"/>
        <family val="1"/>
      </rPr>
      <t xml:space="preserve">[Metered </t>
    </r>
    <r>
      <rPr>
        <b/>
        <sz val="16"/>
        <rFont val="Bookman Old Style"/>
        <family val="1"/>
      </rPr>
      <t>+ Unmetered]</t>
    </r>
  </si>
  <si>
    <t>Current year</t>
  </si>
  <si>
    <t>NPT/GERC REPORT/OCT 15 TO DEC 15</t>
  </si>
  <si>
    <t>Oct- 2016 to Dec- 2016</t>
  </si>
  <si>
    <t>C.C. drawl  as at the end of the Quarter</t>
  </si>
  <si>
    <t>Oct- 2017  to Dec- 2017</t>
  </si>
  <si>
    <t>April, 2018  to Mar-19</t>
  </si>
  <si>
    <t>April, 2017  to Mar-18</t>
  </si>
  <si>
    <t>Jan-2018 to Mar-2018</t>
  </si>
  <si>
    <t>Jan-2019 to Mar-2019(Provisinal)</t>
  </si>
  <si>
    <t xml:space="preserve">Other Debits </t>
  </si>
  <si>
    <t>Sale of Electricity to GUVNL</t>
  </si>
  <si>
    <t>V  -   DISTRIBUTION - KEY DATA</t>
  </si>
  <si>
    <t>Jan-Feb-Mar-19</t>
  </si>
  <si>
    <t>Meter testing and details of non-working defective meters</t>
  </si>
  <si>
    <t>(A)</t>
  </si>
  <si>
    <t>Meter testing</t>
  </si>
  <si>
    <t>Total capacity of laboratory</t>
  </si>
  <si>
    <t>Tested during the period</t>
  </si>
  <si>
    <t>Pending for testing at the end of the period</t>
  </si>
  <si>
    <t>Single phase</t>
  </si>
  <si>
    <t>No.</t>
  </si>
  <si>
    <t>Three phase</t>
  </si>
  <si>
    <t>Total</t>
  </si>
  <si>
    <t>(B)</t>
  </si>
  <si>
    <t>Details of non-working defective meters</t>
  </si>
  <si>
    <t>Detected - op.balance</t>
  </si>
  <si>
    <t>Added</t>
  </si>
  <si>
    <t>Total to be attended</t>
  </si>
  <si>
    <t>Replaced / repaired</t>
  </si>
  <si>
    <t>Pending at the end of the period</t>
  </si>
  <si>
    <t>Note :</t>
  </si>
  <si>
    <t>Since the no.of pending untested meters are normally quite high, action being taken by Discoms to increase the no.of test benches at various locations so that almost nil outstanding balance should accrue .</t>
  </si>
  <si>
    <t>Pending for Testing</t>
  </si>
  <si>
    <t>1 Phase</t>
  </si>
  <si>
    <t>3 Phase</t>
  </si>
  <si>
    <t>Static from Old Mar-19</t>
  </si>
  <si>
    <t>Pend. From New Mar-19</t>
  </si>
  <si>
    <t>Replaced</t>
  </si>
  <si>
    <t>As on Mar-19</t>
  </si>
  <si>
    <t>As on Dec-18</t>
  </si>
  <si>
    <t xml:space="preserve">          </t>
  </si>
  <si>
    <t xml:space="preserve">Static from old meters </t>
  </si>
  <si>
    <t>BOM</t>
  </si>
  <si>
    <t>BCC</t>
  </si>
  <si>
    <t>ANC</t>
  </si>
  <si>
    <t>NDC</t>
  </si>
  <si>
    <t>GDR</t>
  </si>
  <si>
    <t>MGVCL</t>
  </si>
  <si>
    <t>V  -  DISTRIBUTION - KEY DATA</t>
  </si>
  <si>
    <t xml:space="preserve">Action plan for reducing T &amp; D losses in Urban, Industrial and GIDC feeders      </t>
  </si>
  <si>
    <t>Sr. No.</t>
  </si>
  <si>
    <t>Category</t>
  </si>
  <si>
    <t>Circle</t>
  </si>
  <si>
    <t>Q4- April to Mar-19</t>
  </si>
  <si>
    <t>Q4- April to Mar-18</t>
  </si>
  <si>
    <r>
      <t xml:space="preserve">Nos of feeders </t>
    </r>
    <r>
      <rPr>
        <b/>
        <sz val="10"/>
        <color rgb="FFFF0000"/>
        <rFont val="Trebuchet MS"/>
        <family val="2"/>
      </rPr>
      <t>having more than 5%</t>
    </r>
    <r>
      <rPr>
        <b/>
        <sz val="10"/>
        <rFont val="Trebuchet MS"/>
        <family val="2"/>
      </rPr>
      <t xml:space="preserve"> where losses increased in current period</t>
    </r>
  </si>
  <si>
    <t>Reason thereof and action being taken</t>
  </si>
  <si>
    <t xml:space="preserve">Total nos. of feeders     </t>
  </si>
  <si>
    <r>
      <t>Nos. of feeders having losses more than</t>
    </r>
    <r>
      <rPr>
        <b/>
        <sz val="10"/>
        <color rgb="FFFF0000"/>
        <rFont val="Trebuchet MS"/>
        <family val="2"/>
      </rPr>
      <t xml:space="preserve"> 5%     </t>
    </r>
  </si>
  <si>
    <t xml:space="preserve">Overall % losses    </t>
  </si>
  <si>
    <r>
      <t xml:space="preserve">Nos. of feeders having losses more than </t>
    </r>
    <r>
      <rPr>
        <b/>
        <sz val="10"/>
        <color rgb="FFFF0000"/>
        <rFont val="Trebuchet MS"/>
        <family val="2"/>
      </rPr>
      <t xml:space="preserve">5%     </t>
    </r>
  </si>
  <si>
    <t>GIDC</t>
  </si>
  <si>
    <t>Baroda OM</t>
  </si>
  <si>
    <t>Baroda City</t>
  </si>
  <si>
    <t>Anand</t>
  </si>
  <si>
    <t>Nadiad</t>
  </si>
  <si>
    <t>Godhra</t>
  </si>
  <si>
    <r>
      <t xml:space="preserve">Nos of feeders </t>
    </r>
    <r>
      <rPr>
        <b/>
        <sz val="10"/>
        <color rgb="FFFF0000"/>
        <rFont val="Trebuchet MS"/>
        <family val="2"/>
      </rPr>
      <t>having more than 25%</t>
    </r>
    <r>
      <rPr>
        <b/>
        <sz val="10"/>
        <rFont val="Trebuchet MS"/>
        <family val="2"/>
      </rPr>
      <t xml:space="preserve"> where losses increased in current period</t>
    </r>
  </si>
  <si>
    <r>
      <t>Nos. of feeders having losses more than</t>
    </r>
    <r>
      <rPr>
        <b/>
        <sz val="10"/>
        <color rgb="FFFF0000"/>
        <rFont val="Trebuchet MS"/>
        <family val="2"/>
      </rPr>
      <t xml:space="preserve"> 25 %     </t>
    </r>
  </si>
  <si>
    <t>URBAN</t>
  </si>
  <si>
    <t>Various steps are being taken to reduce the losses of feeder having high losses</t>
  </si>
  <si>
    <t>1*</t>
  </si>
  <si>
    <t>6+2*</t>
  </si>
  <si>
    <t>6 + 1*</t>
  </si>
  <si>
    <t>6+3*</t>
  </si>
  <si>
    <t>6+1*</t>
  </si>
  <si>
    <t>*Newly Created Feeders</t>
  </si>
  <si>
    <r>
      <t xml:space="preserve">Nos of feeders </t>
    </r>
    <r>
      <rPr>
        <b/>
        <sz val="10"/>
        <color rgb="FFFF0000"/>
        <rFont val="Trebuchet MS"/>
        <family val="2"/>
      </rPr>
      <t>having more than 10%</t>
    </r>
    <r>
      <rPr>
        <b/>
        <sz val="10"/>
        <rFont val="Trebuchet MS"/>
        <family val="2"/>
      </rPr>
      <t xml:space="preserve"> where losses increased in current period</t>
    </r>
  </si>
  <si>
    <r>
      <t>Nos. of feeders having losses more than</t>
    </r>
    <r>
      <rPr>
        <b/>
        <sz val="10"/>
        <color rgb="FFFF0000"/>
        <rFont val="Trebuchet MS"/>
        <family val="2"/>
      </rPr>
      <t xml:space="preserve"> 10 %     </t>
    </r>
  </si>
  <si>
    <t>IND</t>
  </si>
  <si>
    <t>1+1*</t>
  </si>
  <si>
    <t xml:space="preserve">                                                                    </t>
  </si>
</sst>
</file>

<file path=xl/styles.xml><?xml version="1.0" encoding="utf-8"?>
<styleSheet xmlns="http://schemas.openxmlformats.org/spreadsheetml/2006/main">
  <numFmts count="4">
    <numFmt numFmtId="164" formatCode="0.000"/>
    <numFmt numFmtId="165" formatCode="0.0000"/>
    <numFmt numFmtId="166" formatCode="0.00000000"/>
    <numFmt numFmtId="167" formatCode="[$-409]mmm\-yy;@"/>
  </numFmts>
  <fonts count="69">
    <font>
      <sz val="10"/>
      <name val="Arial"/>
    </font>
    <font>
      <sz val="8"/>
      <name val="Arial"/>
      <family val="2"/>
    </font>
    <font>
      <b/>
      <sz val="14"/>
      <name val="Bookman Old Style"/>
      <family val="1"/>
    </font>
    <font>
      <b/>
      <sz val="20"/>
      <name val="Bookman Old Style"/>
      <family val="1"/>
    </font>
    <font>
      <b/>
      <sz val="22"/>
      <name val="Bookman Old Style"/>
      <family val="1"/>
    </font>
    <font>
      <b/>
      <sz val="26"/>
      <name val="Bookman Old Style"/>
      <family val="1"/>
    </font>
    <font>
      <b/>
      <sz val="8"/>
      <name val="Bookman Old Style"/>
      <family val="1"/>
    </font>
    <font>
      <b/>
      <sz val="24"/>
      <name val="Bookman Old Style"/>
      <family val="1"/>
    </font>
    <font>
      <sz val="10"/>
      <color indexed="8"/>
      <name val="Arial"/>
      <family val="2"/>
    </font>
    <font>
      <b/>
      <sz val="14"/>
      <color indexed="8"/>
      <name val="Bookman Old Style"/>
      <family val="1"/>
    </font>
    <font>
      <sz val="10"/>
      <color indexed="10"/>
      <name val="Arial"/>
      <family val="2"/>
    </font>
    <font>
      <b/>
      <sz val="16"/>
      <name val="Arial"/>
      <family val="2"/>
    </font>
    <font>
      <b/>
      <sz val="14"/>
      <color indexed="8"/>
      <name val="Arial"/>
      <family val="2"/>
    </font>
    <font>
      <b/>
      <sz val="14"/>
      <name val="Arial"/>
      <family val="2"/>
    </font>
    <font>
      <sz val="10"/>
      <name val="Arial"/>
      <family val="2"/>
    </font>
    <font>
      <sz val="10"/>
      <name val="Arial"/>
      <family val="2"/>
    </font>
    <font>
      <b/>
      <sz val="16"/>
      <name val="Bookman Old Style"/>
      <family val="1"/>
    </font>
    <font>
      <sz val="16"/>
      <name val="Arial"/>
      <family val="2"/>
    </font>
    <font>
      <b/>
      <sz val="12"/>
      <name val="Bookman Old Style"/>
      <family val="1"/>
    </font>
    <font>
      <b/>
      <sz val="26"/>
      <name val="Algerian"/>
      <family val="5"/>
    </font>
    <font>
      <b/>
      <sz val="24"/>
      <name val="Algerian"/>
      <family val="5"/>
    </font>
    <font>
      <b/>
      <sz val="22"/>
      <name val="Algerian"/>
      <family val="5"/>
    </font>
    <font>
      <b/>
      <sz val="18"/>
      <name val="Bookman Old Style"/>
      <family val="1"/>
    </font>
    <font>
      <b/>
      <sz val="20"/>
      <name val="Arial"/>
      <family val="2"/>
    </font>
    <font>
      <b/>
      <sz val="18"/>
      <name val="Arial"/>
      <family val="2"/>
    </font>
    <font>
      <sz val="18"/>
      <name val="Arial"/>
      <family val="2"/>
    </font>
    <font>
      <b/>
      <sz val="14"/>
      <color rgb="FFFF0000"/>
      <name val="Bookman Old Style"/>
      <family val="1"/>
    </font>
    <font>
      <b/>
      <sz val="14"/>
      <color theme="1"/>
      <name val="Bookman Old Style"/>
      <family val="1"/>
    </font>
    <font>
      <b/>
      <sz val="18"/>
      <color theme="1"/>
      <name val="Bookman Old Style"/>
      <family val="1"/>
    </font>
    <font>
      <sz val="16"/>
      <color theme="1"/>
      <name val="Arial"/>
      <family val="2"/>
    </font>
    <font>
      <sz val="10"/>
      <color theme="1"/>
      <name val="Arial"/>
      <family val="2"/>
    </font>
    <font>
      <sz val="10"/>
      <color theme="0" tint="-0.34998626667073579"/>
      <name val="Arial"/>
      <family val="2"/>
    </font>
    <font>
      <sz val="12"/>
      <color rgb="FF000000"/>
      <name val="Trebuchet MS"/>
      <family val="2"/>
    </font>
    <font>
      <sz val="14"/>
      <name val="Arial"/>
      <family val="2"/>
    </font>
    <font>
      <sz val="12"/>
      <name val="Courier New"/>
      <family val="3"/>
    </font>
    <font>
      <b/>
      <sz val="16"/>
      <color rgb="FFFF0000"/>
      <name val="Bookman Old Style"/>
      <family val="1"/>
    </font>
    <font>
      <b/>
      <sz val="14"/>
      <color theme="0"/>
      <name val="Bookman Old Style"/>
      <family val="1"/>
    </font>
    <font>
      <b/>
      <sz val="10"/>
      <name val="Arial"/>
      <family val="2"/>
    </font>
    <font>
      <b/>
      <sz val="12"/>
      <name val="Arial"/>
      <family val="2"/>
    </font>
    <font>
      <b/>
      <sz val="16"/>
      <color theme="1"/>
      <name val="Bookman Old Style"/>
      <family val="1"/>
    </font>
    <font>
      <b/>
      <sz val="18"/>
      <color theme="0"/>
      <name val="Bookman Old Style"/>
      <family val="1"/>
    </font>
    <font>
      <sz val="10"/>
      <name val="Arial"/>
      <family val="2"/>
    </font>
    <font>
      <u/>
      <sz val="10"/>
      <color theme="10"/>
      <name val="Arial"/>
      <family val="2"/>
    </font>
    <font>
      <sz val="12"/>
      <name val="Arial"/>
      <family val="2"/>
    </font>
    <font>
      <sz val="14"/>
      <color theme="1"/>
      <name val="Arial"/>
      <family val="2"/>
    </font>
    <font>
      <sz val="12"/>
      <color theme="1"/>
      <name val="Arial"/>
      <family val="2"/>
    </font>
    <font>
      <b/>
      <sz val="18"/>
      <color indexed="14"/>
      <name val="Arial"/>
      <family val="2"/>
    </font>
    <font>
      <b/>
      <sz val="10"/>
      <color indexed="14"/>
      <name val="Arial"/>
      <family val="2"/>
    </font>
    <font>
      <b/>
      <sz val="16"/>
      <color indexed="14"/>
      <name val="Arial"/>
      <family val="2"/>
    </font>
    <font>
      <sz val="12"/>
      <color indexed="12"/>
      <name val="Arial"/>
      <family val="2"/>
    </font>
    <font>
      <sz val="12"/>
      <color rgb="FF000000"/>
      <name val="Tahoma"/>
      <family val="2"/>
    </font>
    <font>
      <sz val="12"/>
      <color indexed="14"/>
      <name val="Arial"/>
      <family val="2"/>
    </font>
    <font>
      <b/>
      <sz val="12"/>
      <color indexed="14"/>
      <name val="Arial"/>
      <family val="2"/>
    </font>
    <font>
      <sz val="10"/>
      <color indexed="14"/>
      <name val="Arial"/>
      <family val="2"/>
    </font>
    <font>
      <sz val="12"/>
      <color rgb="FF0070C0"/>
      <name val="Tahoma"/>
      <family val="2"/>
    </font>
    <font>
      <sz val="10"/>
      <color indexed="12"/>
      <name val="Arial"/>
      <family val="2"/>
    </font>
    <font>
      <sz val="10"/>
      <color theme="1"/>
      <name val="Tahoma"/>
      <family val="2"/>
    </font>
    <font>
      <sz val="8"/>
      <color rgb="FFFF0000"/>
      <name val="Arial"/>
      <family val="2"/>
    </font>
    <font>
      <sz val="10"/>
      <color rgb="FFFF0000"/>
      <name val="Tahoma"/>
      <family val="2"/>
    </font>
    <font>
      <sz val="10"/>
      <color rgb="FFFF0000"/>
      <name val="Arial"/>
      <family val="2"/>
    </font>
    <font>
      <sz val="7"/>
      <name val="Arial"/>
      <family val="2"/>
    </font>
    <font>
      <b/>
      <sz val="10"/>
      <color theme="1"/>
      <name val="Tahoma"/>
      <family val="2"/>
    </font>
    <font>
      <b/>
      <sz val="10"/>
      <color theme="1"/>
      <name val="Arial"/>
      <family val="2"/>
    </font>
    <font>
      <b/>
      <sz val="11"/>
      <name val="Trebuchet MS"/>
      <family val="2"/>
    </font>
    <font>
      <sz val="10"/>
      <color theme="1"/>
      <name val="Trebuchet MS"/>
      <family val="2"/>
    </font>
    <font>
      <b/>
      <sz val="10"/>
      <name val="Trebuchet MS"/>
      <family val="2"/>
    </font>
    <font>
      <b/>
      <sz val="10"/>
      <color rgb="FFFF0000"/>
      <name val="Trebuchet MS"/>
      <family val="2"/>
    </font>
    <font>
      <sz val="10"/>
      <name val="Trebuchet MS"/>
      <family val="2"/>
    </font>
    <font>
      <sz val="10"/>
      <color rgb="FFFF0000"/>
      <name val="Trebuchet MS"/>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4">
    <xf numFmtId="0" fontId="0" fillId="0" borderId="0"/>
    <xf numFmtId="9" fontId="41" fillId="0" borderId="0" applyFont="0" applyFill="0" applyBorder="0" applyAlignment="0" applyProtection="0"/>
    <xf numFmtId="0" fontId="42" fillId="0" borderId="0" applyNumberFormat="0" applyFill="0" applyBorder="0" applyAlignment="0" applyProtection="0"/>
    <xf numFmtId="0" fontId="14" fillId="0" borderId="0"/>
  </cellStyleXfs>
  <cellXfs count="368">
    <xf numFmtId="0" fontId="0" fillId="0" borderId="0" xfId="0"/>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5" fillId="0" borderId="0" xfId="0" applyFont="1" applyAlignment="1">
      <alignment horizontal="center" vertical="center"/>
    </xf>
    <xf numFmtId="0" fontId="7" fillId="0" borderId="0" xfId="0" applyFont="1" applyAlignment="1">
      <alignment horizontal="center" vertical="center" wrapText="1"/>
    </xf>
    <xf numFmtId="0" fontId="5" fillId="0" borderId="0" xfId="0" applyFont="1" applyAlignment="1">
      <alignment horizontal="center" vertical="center" wrapText="1"/>
    </xf>
    <xf numFmtId="10" fontId="0" fillId="0" borderId="0" xfId="0" applyNumberFormat="1"/>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left" vertical="center" wrapText="1"/>
    </xf>
    <xf numFmtId="0" fontId="8" fillId="0" borderId="0" xfId="0" applyFont="1"/>
    <xf numFmtId="0" fontId="9" fillId="0" borderId="6" xfId="0" applyFont="1" applyBorder="1" applyAlignment="1">
      <alignment horizontal="center" vertical="center" wrapText="1"/>
    </xf>
    <xf numFmtId="0" fontId="9" fillId="0" borderId="2" xfId="0" applyFont="1" applyBorder="1" applyAlignment="1">
      <alignment horizontal="lef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0" fillId="0" borderId="0" xfId="0" applyFont="1"/>
    <xf numFmtId="0" fontId="9" fillId="0" borderId="9" xfId="0" applyFont="1" applyBorder="1" applyAlignment="1">
      <alignment horizontal="center" vertical="center" wrapText="1"/>
    </xf>
    <xf numFmtId="2" fontId="11" fillId="0" borderId="0" xfId="0" applyNumberFormat="1" applyFont="1"/>
    <xf numFmtId="10" fontId="11" fillId="0" borderId="0" xfId="0" applyNumberFormat="1" applyFont="1"/>
    <xf numFmtId="0" fontId="9" fillId="0" borderId="1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0" xfId="0" applyFont="1" applyBorder="1" applyAlignment="1">
      <alignment horizontal="left" vertical="center" wrapText="1"/>
    </xf>
    <xf numFmtId="164" fontId="13" fillId="0" borderId="0" xfId="0" applyNumberFormat="1" applyFont="1"/>
    <xf numFmtId="164" fontId="12" fillId="0" borderId="0" xfId="0" applyNumberFormat="1" applyFont="1"/>
    <xf numFmtId="0" fontId="2" fillId="0" borderId="1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7" fillId="0" borderId="0" xfId="0" applyFont="1"/>
    <xf numFmtId="0" fontId="17" fillId="0" borderId="0" xfId="0" applyFont="1" applyAlignment="1">
      <alignment horizontal="left"/>
    </xf>
    <xf numFmtId="0" fontId="17" fillId="0" borderId="0" xfId="0" applyFont="1" applyAlignment="1">
      <alignment horizontal="center"/>
    </xf>
    <xf numFmtId="0" fontId="16" fillId="0" borderId="0" xfId="0" applyFont="1" applyAlignment="1">
      <alignment horizontal="center" vertical="center" wrapText="1"/>
    </xf>
    <xf numFmtId="0" fontId="16" fillId="0" borderId="0" xfId="0" applyFont="1" applyFill="1" applyBorder="1" applyAlignment="1">
      <alignment horizontal="left" vertical="center" wrapText="1"/>
    </xf>
    <xf numFmtId="0" fontId="15" fillId="0" borderId="0" xfId="0" applyFont="1"/>
    <xf numFmtId="0" fontId="2" fillId="0" borderId="9" xfId="0" applyFont="1" applyBorder="1" applyAlignment="1">
      <alignment horizontal="center" vertical="center" wrapText="1"/>
    </xf>
    <xf numFmtId="0" fontId="9" fillId="0" borderId="15" xfId="0" applyFont="1" applyBorder="1" applyAlignment="1">
      <alignment horizontal="center" vertical="center" wrapText="1"/>
    </xf>
    <xf numFmtId="0" fontId="14" fillId="0" borderId="0" xfId="0" applyFont="1"/>
    <xf numFmtId="0" fontId="14" fillId="0" borderId="14" xfId="0" applyFont="1" applyBorder="1"/>
    <xf numFmtId="0" fontId="14" fillId="0" borderId="0" xfId="0" applyFont="1" applyBorder="1" applyAlignment="1">
      <alignment horizontal="left"/>
    </xf>
    <xf numFmtId="0" fontId="14" fillId="0" borderId="0" xfId="0" applyFont="1" applyBorder="1"/>
    <xf numFmtId="0" fontId="2" fillId="0" borderId="0" xfId="0" applyFont="1" applyFill="1" applyBorder="1" applyAlignment="1">
      <alignment horizontal="left" vertical="center" wrapText="1"/>
    </xf>
    <xf numFmtId="0" fontId="17" fillId="0" borderId="0" xfId="0" applyFont="1" applyBorder="1" applyAlignment="1">
      <alignment horizontal="right"/>
    </xf>
    <xf numFmtId="0" fontId="17" fillId="0" borderId="17" xfId="0" applyFont="1" applyBorder="1" applyAlignment="1">
      <alignment horizontal="right"/>
    </xf>
    <xf numFmtId="0" fontId="3" fillId="0" borderId="0" xfId="0" applyFont="1" applyFill="1" applyBorder="1" applyAlignment="1">
      <alignment horizontal="left" vertical="center" wrapText="1"/>
    </xf>
    <xf numFmtId="0" fontId="18" fillId="0" borderId="0" xfId="0" applyFont="1" applyAlignment="1">
      <alignment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 xfId="0" applyFont="1" applyBorder="1" applyAlignment="1">
      <alignment horizontal="left" vertical="center" wrapText="1"/>
    </xf>
    <xf numFmtId="0" fontId="16" fillId="0" borderId="6" xfId="0" applyFont="1" applyBorder="1" applyAlignment="1">
      <alignment horizontal="center" vertical="center" wrapText="1"/>
    </xf>
    <xf numFmtId="0" fontId="16" fillId="0" borderId="2" xfId="0" applyFont="1" applyBorder="1" applyAlignment="1">
      <alignment horizontal="left" vertical="center" wrapText="1"/>
    </xf>
    <xf numFmtId="0" fontId="16" fillId="0" borderId="3" xfId="0" applyFont="1" applyBorder="1" applyAlignment="1">
      <alignment horizontal="center" vertical="center" wrapText="1"/>
    </xf>
    <xf numFmtId="0" fontId="16" fillId="0" borderId="4" xfId="0" applyFont="1" applyBorder="1" applyAlignment="1">
      <alignment horizontal="left" vertical="center" wrapText="1"/>
    </xf>
    <xf numFmtId="0" fontId="16" fillId="0" borderId="4" xfId="0" applyFont="1" applyBorder="1" applyAlignment="1">
      <alignment horizontal="center"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2" fillId="0" borderId="0" xfId="0" applyFont="1"/>
    <xf numFmtId="0" fontId="23" fillId="0" borderId="0" xfId="0" applyFont="1"/>
    <xf numFmtId="2" fontId="23" fillId="0" borderId="0" xfId="0" applyNumberFormat="1" applyFont="1"/>
    <xf numFmtId="0" fontId="16" fillId="0" borderId="0" xfId="0" applyFont="1"/>
    <xf numFmtId="2" fontId="16" fillId="0" borderId="0" xfId="0" applyNumberFormat="1" applyFont="1"/>
    <xf numFmtId="0" fontId="24" fillId="0" borderId="0" xfId="0" applyFont="1"/>
    <xf numFmtId="2" fontId="24" fillId="0" borderId="0" xfId="0" applyNumberFormat="1" applyFont="1"/>
    <xf numFmtId="0" fontId="22" fillId="0" borderId="0" xfId="0" applyFont="1" applyAlignment="1">
      <alignment horizontal="center" vertical="center"/>
    </xf>
    <xf numFmtId="0" fontId="26" fillId="0" borderId="2" xfId="0" applyFont="1" applyBorder="1" applyAlignment="1">
      <alignment horizontal="center" vertical="center" wrapText="1"/>
    </xf>
    <xf numFmtId="0" fontId="25" fillId="0" borderId="0" xfId="0" applyFont="1"/>
    <xf numFmtId="0" fontId="27" fillId="0" borderId="1" xfId="0" applyFont="1" applyBorder="1" applyAlignment="1">
      <alignment horizontal="center" vertical="center" wrapText="1"/>
    </xf>
    <xf numFmtId="0" fontId="28" fillId="0" borderId="1" xfId="0" applyFont="1" applyBorder="1" applyAlignment="1">
      <alignment horizontal="right" vertical="center" wrapText="1"/>
    </xf>
    <xf numFmtId="10" fontId="28" fillId="0" borderId="1" xfId="0" applyNumberFormat="1" applyFont="1" applyBorder="1" applyAlignment="1">
      <alignment horizontal="right" vertical="center" wrapText="1"/>
    </xf>
    <xf numFmtId="2" fontId="28" fillId="0" borderId="1" xfId="0" applyNumberFormat="1" applyFont="1" applyBorder="1" applyAlignment="1">
      <alignment horizontal="right" vertical="center" wrapText="1"/>
    </xf>
    <xf numFmtId="0" fontId="27" fillId="0" borderId="2" xfId="0" applyFont="1" applyBorder="1" applyAlignment="1">
      <alignment horizontal="center" vertical="center" wrapText="1"/>
    </xf>
    <xf numFmtId="2" fontId="28" fillId="0" borderId="1" xfId="0" applyNumberFormat="1" applyFont="1" applyBorder="1" applyAlignment="1">
      <alignment vertical="center" wrapText="1"/>
    </xf>
    <xf numFmtId="1" fontId="28" fillId="0" borderId="1" xfId="0" applyNumberFormat="1" applyFont="1" applyBorder="1" applyAlignment="1">
      <alignment horizontal="right" vertical="center" wrapText="1"/>
    </xf>
    <xf numFmtId="1" fontId="28" fillId="0" borderId="2" xfId="0" applyNumberFormat="1" applyFont="1" applyBorder="1" applyAlignment="1">
      <alignment horizontal="right" vertical="center" wrapText="1"/>
    </xf>
    <xf numFmtId="0" fontId="29" fillId="0" borderId="0" xfId="0" applyFont="1" applyBorder="1" applyAlignment="1">
      <alignment horizontal="right"/>
    </xf>
    <xf numFmtId="2" fontId="28" fillId="0" borderId="2" xfId="0" applyNumberFormat="1" applyFont="1" applyBorder="1" applyAlignment="1">
      <alignment horizontal="right" vertical="center" wrapText="1"/>
    </xf>
    <xf numFmtId="0" fontId="29" fillId="0" borderId="0" xfId="0" applyFont="1"/>
    <xf numFmtId="2" fontId="28" fillId="2" borderId="4" xfId="0" applyNumberFormat="1" applyFont="1" applyFill="1" applyBorder="1" applyAlignment="1">
      <alignment horizontal="right" vertical="center" wrapText="1"/>
    </xf>
    <xf numFmtId="1" fontId="28" fillId="2" borderId="1" xfId="0" applyNumberFormat="1" applyFont="1" applyFill="1" applyBorder="1" applyAlignment="1">
      <alignment horizontal="right" vertical="center" wrapText="1"/>
    </xf>
    <xf numFmtId="1" fontId="28" fillId="2" borderId="2" xfId="0" applyNumberFormat="1" applyFont="1" applyFill="1" applyBorder="1" applyAlignment="1">
      <alignment horizontal="right" vertical="center" wrapText="1"/>
    </xf>
    <xf numFmtId="0" fontId="30" fillId="0" borderId="0" xfId="0" applyFont="1" applyBorder="1"/>
    <xf numFmtId="0" fontId="27" fillId="0" borderId="19" xfId="0" applyFont="1" applyBorder="1" applyAlignment="1">
      <alignment vertical="center" wrapText="1"/>
    </xf>
    <xf numFmtId="165" fontId="23" fillId="0" borderId="0" xfId="0" applyNumberFormat="1" applyFont="1"/>
    <xf numFmtId="2" fontId="0" fillId="0" borderId="0" xfId="0" applyNumberFormat="1"/>
    <xf numFmtId="0" fontId="7" fillId="0" borderId="0" xfId="0" applyFont="1" applyAlignment="1">
      <alignment horizontal="center" vertical="center" wrapText="1"/>
    </xf>
    <xf numFmtId="0" fontId="27" fillId="0" borderId="1" xfId="0" applyFont="1" applyBorder="1" applyAlignment="1">
      <alignment horizontal="center" vertical="center" wrapText="1"/>
    </xf>
    <xf numFmtId="1" fontId="28" fillId="2" borderId="1" xfId="0" quotePrefix="1" applyNumberFormat="1" applyFont="1" applyFill="1" applyBorder="1" applyAlignment="1">
      <alignment horizontal="right" vertical="center" wrapText="1"/>
    </xf>
    <xf numFmtId="1" fontId="28" fillId="0" borderId="4" xfId="0" applyNumberFormat="1" applyFont="1" applyBorder="1" applyAlignment="1">
      <alignment horizontal="right" vertical="center" wrapText="1"/>
    </xf>
    <xf numFmtId="0" fontId="9" fillId="0" borderId="20" xfId="0" applyFont="1" applyBorder="1" applyAlignment="1">
      <alignment horizontal="center" vertical="center" wrapText="1"/>
    </xf>
    <xf numFmtId="1" fontId="29" fillId="0" borderId="0" xfId="0" applyNumberFormat="1" applyFont="1" applyBorder="1" applyAlignment="1">
      <alignment horizontal="right"/>
    </xf>
    <xf numFmtId="2" fontId="14" fillId="0" borderId="0" xfId="0" applyNumberFormat="1" applyFont="1"/>
    <xf numFmtId="0" fontId="9" fillId="0" borderId="28" xfId="0" applyFont="1" applyBorder="1" applyAlignment="1">
      <alignment horizontal="center" vertical="center" wrapText="1"/>
    </xf>
    <xf numFmtId="0" fontId="2"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16" fillId="0" borderId="1" xfId="0" applyFont="1" applyFill="1" applyBorder="1" applyAlignment="1">
      <alignment horizontal="left" vertical="center" wrapText="1"/>
    </xf>
    <xf numFmtId="2" fontId="25" fillId="0" borderId="0" xfId="0" applyNumberFormat="1" applyFont="1"/>
    <xf numFmtId="0" fontId="2" fillId="0"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1" fillId="0" borderId="0" xfId="0" applyFont="1"/>
    <xf numFmtId="0" fontId="32" fillId="0" borderId="0" xfId="0" applyFont="1" applyBorder="1" applyAlignment="1">
      <alignment horizontal="center" wrapText="1"/>
    </xf>
    <xf numFmtId="0" fontId="0" fillId="0" borderId="0" xfId="0" applyBorder="1"/>
    <xf numFmtId="0" fontId="33" fillId="0" borderId="0" xfId="0" applyFont="1"/>
    <xf numFmtId="0" fontId="34" fillId="0" borderId="0" xfId="0" applyFont="1"/>
    <xf numFmtId="16" fontId="0" fillId="0" borderId="0" xfId="0" applyNumberFormat="1"/>
    <xf numFmtId="0" fontId="9"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36" fillId="0" borderId="1" xfId="0" applyFont="1" applyBorder="1" applyAlignment="1">
      <alignment horizontal="center" vertical="center" wrapText="1"/>
    </xf>
    <xf numFmtId="2" fontId="28" fillId="0" borderId="29" xfId="0" applyNumberFormat="1" applyFont="1" applyFill="1" applyBorder="1" applyAlignment="1">
      <alignment horizontal="right" vertical="center" wrapText="1"/>
    </xf>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0" xfId="0" applyFont="1" applyBorder="1" applyAlignment="1">
      <alignment horizontal="center" vertical="center" wrapText="1"/>
    </xf>
    <xf numFmtId="0" fontId="37" fillId="0" borderId="0" xfId="0" applyFont="1"/>
    <xf numFmtId="0" fontId="38" fillId="0" borderId="0" xfId="0" applyFont="1"/>
    <xf numFmtId="2" fontId="28" fillId="0" borderId="10" xfId="0" applyNumberFormat="1" applyFont="1" applyBorder="1" applyAlignment="1">
      <alignment horizontal="right" vertical="center" wrapText="1"/>
    </xf>
    <xf numFmtId="0" fontId="30" fillId="0" borderId="0" xfId="0" applyFont="1"/>
    <xf numFmtId="0" fontId="27" fillId="0" borderId="12" xfId="0" applyFont="1" applyBorder="1" applyAlignment="1">
      <alignment horizontal="center" vertical="center" wrapText="1"/>
    </xf>
    <xf numFmtId="0" fontId="27" fillId="0" borderId="0" xfId="0" applyFont="1" applyBorder="1" applyAlignment="1">
      <alignment horizontal="center" vertical="center" wrapText="1"/>
    </xf>
    <xf numFmtId="0" fontId="28" fillId="0" borderId="16" xfId="0" applyFont="1" applyBorder="1" applyAlignment="1">
      <alignment horizontal="right" vertical="center" wrapText="1"/>
    </xf>
    <xf numFmtId="0" fontId="28" fillId="0" borderId="11" xfId="0" applyFont="1" applyBorder="1" applyAlignment="1">
      <alignment horizontal="right" vertical="center" wrapText="1"/>
    </xf>
    <xf numFmtId="0" fontId="27" fillId="0" borderId="2" xfId="0" applyFont="1" applyBorder="1" applyAlignment="1">
      <alignment horizontal="right" vertical="center" wrapText="1"/>
    </xf>
    <xf numFmtId="0" fontId="27" fillId="0" borderId="12" xfId="0" applyFont="1" applyBorder="1" applyAlignment="1">
      <alignment horizontal="right" vertical="center" wrapText="1"/>
    </xf>
    <xf numFmtId="164" fontId="29" fillId="0" borderId="0" xfId="0" applyNumberFormat="1" applyFont="1"/>
    <xf numFmtId="2" fontId="30" fillId="0" borderId="0" xfId="0" applyNumberFormat="1" applyFont="1"/>
    <xf numFmtId="2" fontId="29" fillId="0" borderId="0" xfId="0" applyNumberFormat="1" applyFont="1"/>
    <xf numFmtId="0" fontId="27" fillId="0" borderId="1" xfId="0" applyFont="1" applyBorder="1" applyAlignment="1">
      <alignment horizontal="center" vertical="center" wrapText="1"/>
    </xf>
    <xf numFmtId="1" fontId="28" fillId="0" borderId="23" xfId="0" applyNumberFormat="1" applyFont="1" applyBorder="1" applyAlignment="1">
      <alignment horizontal="right" vertical="center" wrapText="1"/>
    </xf>
    <xf numFmtId="10" fontId="28" fillId="0" borderId="8" xfId="0" applyNumberFormat="1" applyFont="1" applyBorder="1" applyAlignment="1">
      <alignment horizontal="right" vertical="center" wrapText="1"/>
    </xf>
    <xf numFmtId="10" fontId="28" fillId="0" borderId="2" xfId="0" applyNumberFormat="1" applyFont="1" applyBorder="1" applyAlignment="1">
      <alignment horizontal="right" vertical="center" wrapText="1"/>
    </xf>
    <xf numFmtId="10" fontId="28" fillId="0" borderId="12" xfId="0" applyNumberFormat="1" applyFont="1" applyBorder="1" applyAlignment="1">
      <alignment horizontal="right" vertical="center" wrapText="1"/>
    </xf>
    <xf numFmtId="0" fontId="7" fillId="0" borderId="0" xfId="0" applyFont="1" applyAlignment="1">
      <alignment horizontal="center" vertical="center" wrapText="1"/>
    </xf>
    <xf numFmtId="0" fontId="2" fillId="0" borderId="4" xfId="0" applyFont="1" applyBorder="1" applyAlignment="1">
      <alignment horizontal="center" vertical="center" wrapText="1"/>
    </xf>
    <xf numFmtId="0" fontId="9" fillId="0" borderId="1" xfId="0" applyFont="1" applyBorder="1" applyAlignment="1">
      <alignment horizontal="center" vertical="center" wrapText="1"/>
    </xf>
    <xf numFmtId="0" fontId="2" fillId="0" borderId="1" xfId="0" applyFont="1" applyBorder="1" applyAlignment="1">
      <alignment horizontal="center" vertical="center" wrapText="1"/>
    </xf>
    <xf numFmtId="1" fontId="28" fillId="0" borderId="23" xfId="0" applyNumberFormat="1" applyFont="1" applyBorder="1" applyAlignment="1">
      <alignment horizontal="right" vertical="center" wrapText="1"/>
    </xf>
    <xf numFmtId="10" fontId="28" fillId="0" borderId="4" xfId="0" applyNumberFormat="1" applyFont="1" applyBorder="1" applyAlignment="1">
      <alignment horizontal="right" vertical="center" wrapText="1"/>
    </xf>
    <xf numFmtId="10" fontId="28" fillId="0" borderId="7" xfId="0" applyNumberFormat="1" applyFont="1" applyBorder="1" applyAlignment="1">
      <alignment horizontal="right" vertical="center" wrapText="1"/>
    </xf>
    <xf numFmtId="2" fontId="28" fillId="0" borderId="10" xfId="0" applyNumberFormat="1" applyFont="1" applyBorder="1" applyAlignment="1">
      <alignment horizontal="right" vertical="center" wrapText="1"/>
    </xf>
    <xf numFmtId="2" fontId="28" fillId="0" borderId="23" xfId="0" applyNumberFormat="1" applyFont="1" applyBorder="1" applyAlignment="1">
      <alignment horizontal="right" vertical="center" wrapText="1"/>
    </xf>
    <xf numFmtId="1" fontId="28" fillId="0" borderId="23" xfId="0" applyNumberFormat="1" applyFont="1" applyBorder="1" applyAlignment="1">
      <alignment horizontal="right" vertical="center" wrapText="1"/>
    </xf>
    <xf numFmtId="10" fontId="39" fillId="0" borderId="8" xfId="0" applyNumberFormat="1" applyFont="1" applyBorder="1" applyAlignment="1">
      <alignment horizontal="right" vertical="center" wrapText="1"/>
    </xf>
    <xf numFmtId="2" fontId="28" fillId="0" borderId="8" xfId="0" applyNumberFormat="1" applyFont="1" applyBorder="1" applyAlignment="1">
      <alignment horizontal="right" vertical="center" wrapText="1"/>
    </xf>
    <xf numFmtId="2" fontId="28" fillId="0" borderId="15" xfId="0" applyNumberFormat="1" applyFont="1" applyBorder="1" applyAlignment="1">
      <alignment vertical="center" wrapText="1"/>
    </xf>
    <xf numFmtId="0" fontId="28" fillId="0" borderId="15" xfId="0" applyFont="1" applyBorder="1" applyAlignment="1">
      <alignment horizontal="right" vertical="center" wrapText="1"/>
    </xf>
    <xf numFmtId="0" fontId="28" fillId="0" borderId="10" xfId="0" applyFont="1" applyBorder="1" applyAlignment="1">
      <alignment horizontal="right" vertical="center" wrapText="1"/>
    </xf>
    <xf numFmtId="10" fontId="28" fillId="0" borderId="15" xfId="0" applyNumberFormat="1" applyFont="1" applyBorder="1" applyAlignment="1">
      <alignment horizontal="right" vertical="center" wrapText="1"/>
    </xf>
    <xf numFmtId="0" fontId="28" fillId="0" borderId="8" xfId="0" applyFont="1" applyBorder="1" applyAlignment="1">
      <alignment horizontal="right" vertical="center" wrapText="1"/>
    </xf>
    <xf numFmtId="2" fontId="28" fillId="0" borderId="1" xfId="0" applyNumberFormat="1" applyFont="1" applyFill="1" applyBorder="1" applyAlignment="1">
      <alignment horizontal="right" vertical="center" wrapText="1"/>
    </xf>
    <xf numFmtId="10" fontId="28" fillId="0" borderId="30" xfId="0" applyNumberFormat="1" applyFont="1" applyBorder="1" applyAlignment="1">
      <alignment horizontal="right" vertical="center" wrapText="1"/>
    </xf>
    <xf numFmtId="2" fontId="28" fillId="0" borderId="10" xfId="0" applyNumberFormat="1" applyFont="1" applyBorder="1" applyAlignment="1">
      <alignment horizontal="right" vertical="center" wrapText="1"/>
    </xf>
    <xf numFmtId="10" fontId="40" fillId="0" borderId="1" xfId="0" applyNumberFormat="1" applyFont="1" applyFill="1" applyBorder="1" applyAlignment="1">
      <alignment horizontal="right" vertical="center" wrapText="1"/>
    </xf>
    <xf numFmtId="10" fontId="40" fillId="0" borderId="15" xfId="0" applyNumberFormat="1" applyFont="1" applyFill="1" applyBorder="1" applyAlignment="1">
      <alignment horizontal="right" vertical="center" wrapText="1"/>
    </xf>
    <xf numFmtId="10" fontId="40" fillId="0" borderId="1" xfId="0" applyNumberFormat="1" applyFont="1" applyBorder="1" applyAlignment="1">
      <alignment horizontal="right" vertical="center" wrapText="1"/>
    </xf>
    <xf numFmtId="10" fontId="40" fillId="0" borderId="8" xfId="0" applyNumberFormat="1" applyFont="1" applyBorder="1" applyAlignment="1">
      <alignment horizontal="right" vertical="center" wrapText="1"/>
    </xf>
    <xf numFmtId="10" fontId="40" fillId="0" borderId="30" xfId="0" applyNumberFormat="1" applyFont="1" applyBorder="1" applyAlignment="1">
      <alignment horizontal="right" vertical="center" wrapText="1"/>
    </xf>
    <xf numFmtId="2" fontId="33" fillId="0" borderId="0" xfId="0" applyNumberFormat="1" applyFont="1"/>
    <xf numFmtId="2" fontId="28" fillId="0" borderId="23" xfId="0" applyNumberFormat="1" applyFont="1" applyBorder="1" applyAlignment="1">
      <alignment horizontal="right" vertical="center" wrapText="1"/>
    </xf>
    <xf numFmtId="10" fontId="33" fillId="0" borderId="0" xfId="1" applyNumberFormat="1" applyFont="1"/>
    <xf numFmtId="0" fontId="29" fillId="0" borderId="0" xfId="0" applyFont="1" applyFill="1" applyBorder="1" applyAlignment="1">
      <alignment horizontal="right"/>
    </xf>
    <xf numFmtId="0" fontId="42" fillId="0" borderId="0" xfId="2"/>
    <xf numFmtId="165" fontId="33" fillId="0" borderId="0" xfId="1" applyNumberFormat="1" applyFont="1"/>
    <xf numFmtId="10" fontId="22" fillId="0" borderId="8" xfId="0" applyNumberFormat="1" applyFont="1" applyBorder="1" applyAlignment="1">
      <alignment horizontal="right" vertical="center" wrapText="1"/>
    </xf>
    <xf numFmtId="0" fontId="27" fillId="0" borderId="1" xfId="0" applyFont="1" applyBorder="1" applyAlignment="1">
      <alignment horizontal="center" vertical="center" wrapText="1"/>
    </xf>
    <xf numFmtId="0" fontId="43" fillId="0" borderId="0" xfId="0" applyFont="1"/>
    <xf numFmtId="2" fontId="28" fillId="0" borderId="2" xfId="0" applyNumberFormat="1" applyFont="1" applyFill="1" applyBorder="1" applyAlignment="1">
      <alignment horizontal="right" vertical="center" wrapText="1"/>
    </xf>
    <xf numFmtId="166" fontId="33" fillId="0" borderId="0" xfId="0" applyNumberFormat="1" applyFont="1"/>
    <xf numFmtId="1" fontId="28" fillId="0" borderId="1" xfId="0" applyNumberFormat="1" applyFont="1" applyFill="1" applyBorder="1" applyAlignment="1">
      <alignment horizontal="right" vertical="center" wrapText="1"/>
    </xf>
    <xf numFmtId="1" fontId="28" fillId="0" borderId="1" xfId="0" quotePrefix="1" applyNumberFormat="1" applyFont="1" applyFill="1" applyBorder="1" applyAlignment="1">
      <alignment horizontal="right" vertical="center" wrapText="1"/>
    </xf>
    <xf numFmtId="1" fontId="28" fillId="0" borderId="2" xfId="0" applyNumberFormat="1" applyFont="1" applyFill="1" applyBorder="1" applyAlignment="1">
      <alignment horizontal="right" vertical="center" wrapText="1"/>
    </xf>
    <xf numFmtId="1" fontId="28" fillId="0" borderId="4" xfId="0" applyNumberFormat="1" applyFont="1" applyFill="1" applyBorder="1" applyAlignment="1">
      <alignment horizontal="right" vertical="center" wrapText="1"/>
    </xf>
    <xf numFmtId="1" fontId="28" fillId="0" borderId="23" xfId="0" applyNumberFormat="1" applyFont="1" applyFill="1" applyBorder="1" applyAlignment="1">
      <alignment horizontal="right" vertical="center" wrapText="1"/>
    </xf>
    <xf numFmtId="0" fontId="44" fillId="0" borderId="0" xfId="0" applyFont="1"/>
    <xf numFmtId="0" fontId="45" fillId="0" borderId="0" xfId="0" applyFont="1"/>
    <xf numFmtId="0" fontId="47" fillId="0" borderId="0" xfId="0" applyFont="1" applyAlignment="1">
      <alignment horizontal="center"/>
    </xf>
    <xf numFmtId="0" fontId="46" fillId="0" borderId="0" xfId="0" applyFont="1" applyAlignment="1">
      <alignment horizontal="center"/>
    </xf>
    <xf numFmtId="0" fontId="48" fillId="0" borderId="0" xfId="0" applyFont="1" applyAlignment="1">
      <alignment horizontal="center"/>
    </xf>
    <xf numFmtId="0" fontId="38" fillId="0" borderId="0" xfId="0" applyFont="1" applyBorder="1" applyAlignment="1">
      <alignment horizontal="center"/>
    </xf>
    <xf numFmtId="0" fontId="43" fillId="0" borderId="0" xfId="0" applyFont="1" applyBorder="1"/>
    <xf numFmtId="0" fontId="38" fillId="0" borderId="0" xfId="0" applyFont="1" applyBorder="1"/>
    <xf numFmtId="0" fontId="49" fillId="0" borderId="0" xfId="0" applyFont="1" applyBorder="1"/>
    <xf numFmtId="0" fontId="38" fillId="0" borderId="34" xfId="0" applyFont="1" applyBorder="1" applyAlignment="1">
      <alignment horizontal="center" vertical="center"/>
    </xf>
    <xf numFmtId="0" fontId="38" fillId="0" borderId="35" xfId="0" applyFont="1" applyBorder="1" applyAlignment="1">
      <alignment horizontal="center" vertical="center"/>
    </xf>
    <xf numFmtId="0" fontId="43" fillId="0" borderId="35" xfId="0" applyFont="1" applyFill="1" applyBorder="1" applyAlignment="1">
      <alignment horizontal="center" vertical="center"/>
    </xf>
    <xf numFmtId="0" fontId="37" fillId="0" borderId="35" xfId="0" applyFont="1" applyFill="1" applyBorder="1" applyAlignment="1">
      <alignment horizontal="center" vertical="center" wrapText="1"/>
    </xf>
    <xf numFmtId="0" fontId="43" fillId="0" borderId="35" xfId="0" applyFont="1" applyFill="1" applyBorder="1" applyAlignment="1">
      <alignment vertical="center"/>
    </xf>
    <xf numFmtId="0" fontId="43" fillId="0" borderId="36" xfId="0" applyFont="1" applyFill="1" applyBorder="1" applyAlignment="1">
      <alignment vertical="center"/>
    </xf>
    <xf numFmtId="0" fontId="38" fillId="0" borderId="37" xfId="0" applyFont="1" applyBorder="1" applyAlignment="1">
      <alignment horizontal="left" vertical="center"/>
    </xf>
    <xf numFmtId="0" fontId="43" fillId="0" borderId="1" xfId="0" applyFont="1" applyBorder="1" applyAlignment="1">
      <alignment horizontal="left" vertical="center"/>
    </xf>
    <xf numFmtId="0" fontId="43" fillId="0" borderId="1" xfId="0" applyFont="1" applyFill="1" applyBorder="1" applyAlignment="1">
      <alignment horizontal="center" vertical="center"/>
    </xf>
    <xf numFmtId="0" fontId="49" fillId="0" borderId="1" xfId="0" applyFont="1" applyFill="1" applyBorder="1" applyAlignment="1">
      <alignment vertical="center"/>
    </xf>
    <xf numFmtId="1" fontId="50" fillId="3" borderId="1" xfId="0" applyNumberFormat="1" applyFont="1" applyFill="1" applyBorder="1" applyAlignment="1">
      <alignment vertical="center" wrapText="1"/>
    </xf>
    <xf numFmtId="1" fontId="50" fillId="0" borderId="1" xfId="0" applyNumberFormat="1" applyFont="1" applyFill="1" applyBorder="1" applyAlignment="1">
      <alignment vertical="center" wrapText="1"/>
    </xf>
    <xf numFmtId="0" fontId="43" fillId="0" borderId="1" xfId="0" applyFont="1" applyFill="1" applyBorder="1" applyAlignment="1">
      <alignment vertical="center"/>
    </xf>
    <xf numFmtId="0" fontId="43" fillId="0" borderId="38" xfId="0" applyFont="1" applyFill="1" applyBorder="1" applyAlignment="1">
      <alignment vertical="center"/>
    </xf>
    <xf numFmtId="167" fontId="0" fillId="0" borderId="0" xfId="0" applyNumberFormat="1" applyBorder="1"/>
    <xf numFmtId="1" fontId="0" fillId="0" borderId="0" xfId="0" applyNumberFormat="1" applyBorder="1"/>
    <xf numFmtId="0" fontId="43" fillId="0" borderId="37" xfId="0" applyFont="1" applyBorder="1" applyAlignment="1">
      <alignment horizontal="left" vertical="center"/>
    </xf>
    <xf numFmtId="2" fontId="0" fillId="0" borderId="0" xfId="0" applyNumberFormat="1" applyBorder="1"/>
    <xf numFmtId="0" fontId="51" fillId="0" borderId="37" xfId="0" applyFont="1" applyBorder="1" applyAlignment="1">
      <alignment horizontal="left" vertical="center"/>
    </xf>
    <xf numFmtId="0" fontId="52" fillId="0" borderId="1" xfId="0" applyFont="1" applyBorder="1" applyAlignment="1">
      <alignment horizontal="left" vertical="center"/>
    </xf>
    <xf numFmtId="0" fontId="52" fillId="0" borderId="1" xfId="0" applyFont="1" applyFill="1" applyBorder="1" applyAlignment="1">
      <alignment horizontal="center" vertical="center"/>
    </xf>
    <xf numFmtId="0" fontId="51" fillId="0" borderId="1" xfId="0" applyFont="1" applyFill="1" applyBorder="1" applyAlignment="1">
      <alignment vertical="center"/>
    </xf>
    <xf numFmtId="1" fontId="51" fillId="0" borderId="1" xfId="0" applyNumberFormat="1" applyFont="1" applyFill="1" applyBorder="1" applyAlignment="1">
      <alignment vertical="center"/>
    </xf>
    <xf numFmtId="0" fontId="51" fillId="0" borderId="38" xfId="0" applyFont="1" applyFill="1" applyBorder="1" applyAlignment="1">
      <alignment vertical="center"/>
    </xf>
    <xf numFmtId="0" fontId="53" fillId="0" borderId="0" xfId="0" applyFont="1" applyBorder="1"/>
    <xf numFmtId="0" fontId="38" fillId="0" borderId="37" xfId="0" applyFont="1" applyBorder="1" applyAlignment="1">
      <alignment horizontal="center" vertical="center"/>
    </xf>
    <xf numFmtId="0" fontId="38" fillId="0" borderId="1" xfId="0" applyFont="1" applyBorder="1" applyAlignment="1">
      <alignment horizontal="center" vertical="center" wrapText="1"/>
    </xf>
    <xf numFmtId="0" fontId="37" fillId="0" borderId="1"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0" fillId="0" borderId="0" xfId="0" applyBorder="1" applyAlignment="1">
      <alignment vertical="center"/>
    </xf>
    <xf numFmtId="1" fontId="37" fillId="0" borderId="0" xfId="0" applyNumberFormat="1" applyFont="1" applyBorder="1" applyAlignment="1">
      <alignment vertical="center"/>
    </xf>
    <xf numFmtId="0" fontId="54" fillId="4" borderId="39" xfId="0" applyFont="1" applyFill="1" applyBorder="1" applyAlignment="1">
      <alignment vertical="center"/>
    </xf>
    <xf numFmtId="1" fontId="54" fillId="4" borderId="19" xfId="0" applyNumberFormat="1" applyFont="1" applyFill="1" applyBorder="1" applyAlignment="1">
      <alignment vertical="center"/>
    </xf>
    <xf numFmtId="0" fontId="54" fillId="4" borderId="32" xfId="0" applyFont="1" applyFill="1" applyBorder="1" applyAlignment="1">
      <alignment vertical="center"/>
    </xf>
    <xf numFmtId="1" fontId="54" fillId="4" borderId="32" xfId="0" applyNumberFormat="1" applyFont="1" applyFill="1" applyBorder="1" applyAlignment="1">
      <alignment vertical="center"/>
    </xf>
    <xf numFmtId="1" fontId="51" fillId="4" borderId="1" xfId="0" applyNumberFormat="1" applyFont="1" applyFill="1" applyBorder="1" applyAlignment="1">
      <alignment vertical="center"/>
    </xf>
    <xf numFmtId="0" fontId="52" fillId="0" borderId="1" xfId="0" applyFont="1" applyBorder="1" applyAlignment="1">
      <alignment horizontal="center" vertical="center"/>
    </xf>
    <xf numFmtId="0" fontId="51" fillId="4" borderId="38" xfId="0" applyFont="1" applyFill="1" applyBorder="1" applyAlignment="1">
      <alignment vertical="center"/>
    </xf>
    <xf numFmtId="0" fontId="0" fillId="0" borderId="37" xfId="0" applyBorder="1"/>
    <xf numFmtId="0" fontId="37" fillId="0" borderId="1" xfId="0" applyFont="1" applyBorder="1"/>
    <xf numFmtId="0" fontId="14" fillId="0" borderId="1" xfId="0" applyFont="1" applyBorder="1"/>
    <xf numFmtId="0" fontId="55" fillId="0" borderId="1" xfId="0" applyFont="1" applyFill="1" applyBorder="1"/>
    <xf numFmtId="0" fontId="0" fillId="0" borderId="1" xfId="0" applyFill="1" applyBorder="1"/>
    <xf numFmtId="0" fontId="0" fillId="0" borderId="38" xfId="0" applyFill="1" applyBorder="1"/>
    <xf numFmtId="0" fontId="0" fillId="0" borderId="40" xfId="0" applyBorder="1"/>
    <xf numFmtId="0" fontId="37" fillId="0" borderId="41" xfId="0" applyFont="1" applyBorder="1"/>
    <xf numFmtId="0" fontId="14" fillId="0" borderId="41" xfId="0" applyFont="1" applyBorder="1"/>
    <xf numFmtId="0" fontId="55" fillId="0" borderId="41" xfId="0" applyFont="1" applyFill="1" applyBorder="1"/>
    <xf numFmtId="0" fontId="0" fillId="0" borderId="41" xfId="0" applyFill="1" applyBorder="1"/>
    <xf numFmtId="0" fontId="0" fillId="0" borderId="42" xfId="0" applyFill="1" applyBorder="1"/>
    <xf numFmtId="0" fontId="13" fillId="0" borderId="0" xfId="0" applyFont="1" applyBorder="1"/>
    <xf numFmtId="1" fontId="56" fillId="0" borderId="0" xfId="0" applyNumberFormat="1" applyFont="1" applyFill="1" applyBorder="1"/>
    <xf numFmtId="0" fontId="56" fillId="0" borderId="0" xfId="0" applyFont="1" applyFill="1" applyBorder="1"/>
    <xf numFmtId="0" fontId="57" fillId="0" borderId="1" xfId="0" applyFont="1" applyBorder="1"/>
    <xf numFmtId="0" fontId="58" fillId="0" borderId="1" xfId="0" applyFont="1" applyFill="1" applyBorder="1"/>
    <xf numFmtId="0" fontId="59" fillId="0" borderId="0" xfId="0" applyFont="1" applyBorder="1"/>
    <xf numFmtId="0" fontId="60" fillId="0" borderId="1" xfId="0" applyFont="1" applyBorder="1"/>
    <xf numFmtId="0" fontId="56" fillId="4" borderId="1" xfId="0" applyFont="1" applyFill="1" applyBorder="1"/>
    <xf numFmtId="0" fontId="37" fillId="0" borderId="1" xfId="0" applyFont="1" applyFill="1" applyBorder="1"/>
    <xf numFmtId="1" fontId="61" fillId="0" borderId="1" xfId="0" applyNumberFormat="1" applyFont="1" applyFill="1" applyBorder="1"/>
    <xf numFmtId="0" fontId="59" fillId="0" borderId="0" xfId="0" applyFont="1" applyFill="1" applyBorder="1"/>
    <xf numFmtId="1" fontId="58" fillId="0" borderId="0" xfId="0" applyNumberFormat="1" applyFont="1" applyFill="1" applyBorder="1"/>
    <xf numFmtId="0" fontId="0" fillId="0" borderId="0" xfId="0" applyFill="1" applyBorder="1"/>
    <xf numFmtId="0" fontId="56" fillId="0" borderId="0" xfId="0" quotePrefix="1" applyFont="1" applyFill="1" applyBorder="1" applyAlignment="1">
      <alignment vertical="top" wrapText="1"/>
    </xf>
    <xf numFmtId="0" fontId="30" fillId="0" borderId="0" xfId="0" applyFont="1" applyFill="1" applyBorder="1"/>
    <xf numFmtId="1" fontId="30" fillId="0" borderId="0" xfId="0" applyNumberFormat="1" applyFont="1" applyFill="1" applyBorder="1"/>
    <xf numFmtId="0" fontId="59" fillId="0" borderId="1" xfId="0" applyFont="1" applyBorder="1"/>
    <xf numFmtId="0" fontId="37" fillId="0" borderId="0" xfId="0" applyFont="1" applyBorder="1"/>
    <xf numFmtId="0" fontId="55" fillId="0" borderId="0" xfId="0" applyFont="1" applyBorder="1"/>
    <xf numFmtId="16" fontId="14" fillId="0" borderId="1" xfId="0" applyNumberFormat="1" applyFont="1" applyBorder="1"/>
    <xf numFmtId="0" fontId="30" fillId="0" borderId="1" xfId="0" applyFont="1" applyBorder="1"/>
    <xf numFmtId="0" fontId="14" fillId="4" borderId="1" xfId="0" applyFont="1" applyFill="1" applyBorder="1"/>
    <xf numFmtId="0" fontId="30" fillId="4" borderId="1" xfId="0" applyFont="1" applyFill="1" applyBorder="1"/>
    <xf numFmtId="0" fontId="62" fillId="0" borderId="1" xfId="0" applyFont="1" applyBorder="1"/>
    <xf numFmtId="0" fontId="64" fillId="0" borderId="0" xfId="0" applyFont="1" applyFill="1"/>
    <xf numFmtId="0" fontId="65" fillId="0" borderId="46" xfId="3" applyFont="1" applyFill="1" applyBorder="1" applyAlignment="1"/>
    <xf numFmtId="0" fontId="65" fillId="0" borderId="47" xfId="3" applyFont="1" applyFill="1" applyBorder="1" applyAlignment="1"/>
    <xf numFmtId="0" fontId="65" fillId="0" borderId="48" xfId="3" applyFont="1" applyFill="1" applyBorder="1" applyAlignment="1"/>
    <xf numFmtId="0" fontId="65" fillId="0" borderId="1" xfId="3" applyFont="1" applyFill="1" applyBorder="1" applyAlignment="1">
      <alignment horizontal="center" vertical="center" wrapText="1"/>
    </xf>
    <xf numFmtId="0" fontId="65" fillId="0" borderId="1" xfId="3" applyFont="1" applyBorder="1" applyAlignment="1">
      <alignment horizontal="center" vertical="center" wrapText="1"/>
    </xf>
    <xf numFmtId="0" fontId="67" fillId="0" borderId="5" xfId="3" applyFont="1" applyFill="1" applyBorder="1" applyAlignment="1">
      <alignment horizontal="center" wrapText="1"/>
    </xf>
    <xf numFmtId="0" fontId="67" fillId="0" borderId="1" xfId="3" applyFont="1" applyFill="1" applyBorder="1" applyAlignment="1">
      <alignment horizontal="center" wrapText="1"/>
    </xf>
    <xf numFmtId="0" fontId="67" fillId="0" borderId="1" xfId="3" applyFont="1" applyFill="1" applyBorder="1" applyAlignment="1">
      <alignment horizontal="center" vertical="center"/>
    </xf>
    <xf numFmtId="2" fontId="67" fillId="0" borderId="1" xfId="3" applyNumberFormat="1" applyFont="1" applyFill="1" applyBorder="1" applyAlignment="1">
      <alignment horizontal="center" wrapText="1"/>
    </xf>
    <xf numFmtId="0" fontId="67" fillId="0" borderId="1" xfId="3" applyFont="1" applyFill="1" applyBorder="1" applyAlignment="1">
      <alignment horizontal="center" vertical="center" wrapText="1"/>
    </xf>
    <xf numFmtId="0" fontId="64" fillId="0" borderId="0" xfId="0" applyFont="1" applyFill="1" applyBorder="1" applyAlignment="1">
      <alignment horizontal="center"/>
    </xf>
    <xf numFmtId="0" fontId="65" fillId="0" borderId="1" xfId="3" applyFont="1" applyFill="1" applyBorder="1" applyAlignment="1">
      <alignment horizontal="center" wrapText="1"/>
    </xf>
    <xf numFmtId="2" fontId="65" fillId="0" borderId="1" xfId="3" applyNumberFormat="1" applyFont="1" applyFill="1" applyBorder="1" applyAlignment="1">
      <alignment horizontal="center" wrapText="1"/>
    </xf>
    <xf numFmtId="0" fontId="64" fillId="0" borderId="0" xfId="0" applyFont="1" applyFill="1" applyAlignment="1">
      <alignment vertical="center"/>
    </xf>
    <xf numFmtId="0" fontId="64" fillId="0" borderId="1" xfId="0" applyFont="1" applyFill="1" applyBorder="1" applyAlignment="1">
      <alignment horizontal="center"/>
    </xf>
    <xf numFmtId="0" fontId="68" fillId="0" borderId="21" xfId="3" applyFont="1" applyFill="1" applyBorder="1" applyAlignment="1">
      <alignment horizontal="center" vertical="center" wrapText="1"/>
    </xf>
    <xf numFmtId="0" fontId="64" fillId="0" borderId="5" xfId="0" applyFont="1" applyFill="1" applyBorder="1"/>
    <xf numFmtId="0" fontId="64" fillId="0" borderId="1" xfId="0" applyFont="1" applyFill="1" applyBorder="1"/>
    <xf numFmtId="0" fontId="67" fillId="0" borderId="6" xfId="3" applyFont="1" applyFill="1" applyBorder="1" applyAlignment="1">
      <alignment horizontal="center" wrapText="1"/>
    </xf>
    <xf numFmtId="0" fontId="64" fillId="0" borderId="2" xfId="0" applyFont="1" applyFill="1" applyBorder="1" applyAlignment="1">
      <alignment horizontal="center"/>
    </xf>
    <xf numFmtId="0" fontId="65" fillId="0" borderId="2" xfId="3" applyFont="1" applyFill="1" applyBorder="1" applyAlignment="1">
      <alignment horizontal="center" wrapText="1"/>
    </xf>
    <xf numFmtId="0" fontId="68" fillId="0" borderId="12" xfId="3" applyFont="1" applyFill="1" applyBorder="1" applyAlignment="1">
      <alignment horizontal="center" vertical="center" wrapText="1"/>
    </xf>
    <xf numFmtId="10" fontId="28" fillId="0" borderId="10" xfId="0" applyNumberFormat="1" applyFont="1" applyBorder="1" applyAlignment="1">
      <alignment horizontal="right" vertical="center" wrapText="1"/>
    </xf>
    <xf numFmtId="10" fontId="28" fillId="0" borderId="20" xfId="0" applyNumberFormat="1" applyFont="1" applyBorder="1" applyAlignment="1">
      <alignment horizontal="right" vertical="center" wrapText="1"/>
    </xf>
    <xf numFmtId="10" fontId="28" fillId="0" borderId="16" xfId="0" applyNumberFormat="1" applyFont="1" applyBorder="1" applyAlignment="1">
      <alignment horizontal="right" vertical="center" wrapText="1"/>
    </xf>
    <xf numFmtId="10" fontId="28" fillId="0" borderId="11" xfId="0" applyNumberFormat="1" applyFont="1" applyBorder="1" applyAlignment="1">
      <alignment horizontal="right" vertical="center" wrapText="1"/>
    </xf>
    <xf numFmtId="10" fontId="28" fillId="0" borderId="21" xfId="0" applyNumberFormat="1" applyFont="1" applyBorder="1" applyAlignment="1">
      <alignment horizontal="right" vertical="center" wrapText="1"/>
    </xf>
    <xf numFmtId="2" fontId="28" fillId="0" borderId="10" xfId="0" applyNumberFormat="1" applyFont="1" applyBorder="1" applyAlignment="1">
      <alignment horizontal="right" vertical="center" wrapText="1"/>
    </xf>
    <xf numFmtId="0" fontId="28" fillId="0" borderId="20" xfId="0" applyFont="1" applyBorder="1" applyAlignment="1">
      <alignment horizontal="right" vertical="center" wrapText="1"/>
    </xf>
    <xf numFmtId="10" fontId="28" fillId="0" borderId="22" xfId="0" applyNumberFormat="1" applyFont="1" applyBorder="1" applyAlignment="1">
      <alignment horizontal="right" vertical="center" wrapText="1"/>
    </xf>
    <xf numFmtId="2" fontId="28" fillId="0" borderId="20" xfId="0" applyNumberFormat="1" applyFont="1" applyBorder="1" applyAlignment="1">
      <alignment horizontal="right" vertical="center" wrapText="1"/>
    </xf>
    <xf numFmtId="0" fontId="6" fillId="0" borderId="0" xfId="0" applyFont="1" applyAlignment="1">
      <alignment horizontal="center" vertical="center" wrapText="1"/>
    </xf>
    <xf numFmtId="2" fontId="28" fillId="0" borderId="10" xfId="0" applyNumberFormat="1" applyFont="1" applyFill="1" applyBorder="1" applyAlignment="1">
      <alignment horizontal="right" vertical="center" wrapText="1"/>
    </xf>
    <xf numFmtId="2" fontId="28" fillId="0" borderId="20" xfId="0" applyNumberFormat="1" applyFont="1" applyFill="1" applyBorder="1" applyAlignment="1">
      <alignment horizontal="right" vertical="center" wrapText="1"/>
    </xf>
    <xf numFmtId="0" fontId="9" fillId="0" borderId="10" xfId="0" applyFont="1" applyBorder="1" applyAlignment="1">
      <alignment horizontal="center" vertical="center" wrapText="1"/>
    </xf>
    <xf numFmtId="0" fontId="9" fillId="0" borderId="20" xfId="0" applyFont="1" applyBorder="1" applyAlignment="1">
      <alignment horizontal="center" vertical="center" wrapText="1"/>
    </xf>
    <xf numFmtId="1" fontId="28" fillId="0" borderId="10" xfId="0" applyNumberFormat="1" applyFont="1" applyBorder="1" applyAlignment="1">
      <alignment horizontal="right" vertical="center" wrapText="1"/>
    </xf>
    <xf numFmtId="1" fontId="28" fillId="0" borderId="16" xfId="0" applyNumberFormat="1" applyFont="1" applyBorder="1" applyAlignment="1">
      <alignment horizontal="right" vertical="center" wrapText="1"/>
    </xf>
    <xf numFmtId="1" fontId="28" fillId="0" borderId="20" xfId="0" applyNumberFormat="1" applyFont="1" applyBorder="1" applyAlignment="1">
      <alignment horizontal="right" vertical="center" wrapText="1"/>
    </xf>
    <xf numFmtId="0" fontId="19" fillId="0" borderId="0" xfId="0" applyFont="1" applyAlignment="1">
      <alignment horizontal="center"/>
    </xf>
    <xf numFmtId="0" fontId="7" fillId="0" borderId="0" xfId="0" applyFont="1" applyAlignment="1">
      <alignment horizontal="center" vertical="center" wrapText="1"/>
    </xf>
    <xf numFmtId="0" fontId="9" fillId="0" borderId="8"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2" fillId="0" borderId="4" xfId="0" applyFont="1" applyBorder="1" applyAlignment="1">
      <alignment horizontal="center" vertical="center" wrapText="1"/>
    </xf>
    <xf numFmtId="0" fontId="9" fillId="0" borderId="1" xfId="0" applyFont="1" applyBorder="1" applyAlignment="1">
      <alignment horizontal="center" vertical="center" wrapText="1"/>
    </xf>
    <xf numFmtId="0" fontId="20" fillId="0" borderId="0" xfId="0" applyFont="1" applyAlignment="1">
      <alignment horizontal="center"/>
    </xf>
    <xf numFmtId="0" fontId="9" fillId="0" borderId="23" xfId="0" applyFont="1" applyBorder="1" applyAlignment="1">
      <alignment horizontal="center" vertical="center" wrapText="1"/>
    </xf>
    <xf numFmtId="0" fontId="9" fillId="0" borderId="15" xfId="0" applyFont="1" applyBorder="1" applyAlignment="1">
      <alignment horizontal="center" vertical="center" wrapText="1"/>
    </xf>
    <xf numFmtId="0" fontId="21" fillId="0" borderId="0" xfId="0" applyFont="1" applyAlignment="1">
      <alignment horizontal="center"/>
    </xf>
    <xf numFmtId="0" fontId="4" fillId="0" borderId="0" xfId="0" applyFont="1" applyAlignment="1">
      <alignment horizontal="center" vertical="center" wrapText="1"/>
    </xf>
    <xf numFmtId="2" fontId="28" fillId="0" borderId="23" xfId="0" applyNumberFormat="1" applyFont="1" applyBorder="1" applyAlignment="1">
      <alignment horizontal="right" vertical="center" wrapText="1"/>
    </xf>
    <xf numFmtId="10" fontId="28" fillId="0" borderId="10" xfId="0" applyNumberFormat="1" applyFont="1" applyBorder="1" applyAlignment="1">
      <alignment vertical="center" wrapText="1"/>
    </xf>
    <xf numFmtId="10" fontId="28" fillId="0" borderId="20" xfId="0" applyNumberFormat="1" applyFont="1" applyBorder="1" applyAlignment="1">
      <alignment vertical="center" wrapText="1"/>
    </xf>
    <xf numFmtId="1" fontId="28" fillId="0" borderId="10" xfId="0" applyNumberFormat="1" applyFont="1" applyFill="1" applyBorder="1" applyAlignment="1">
      <alignment horizontal="right" vertical="center" wrapText="1"/>
    </xf>
    <xf numFmtId="1" fontId="28" fillId="0" borderId="20" xfId="0" applyNumberFormat="1" applyFont="1" applyFill="1" applyBorder="1" applyAlignment="1">
      <alignment horizontal="right" vertical="center" wrapText="1"/>
    </xf>
    <xf numFmtId="0" fontId="14" fillId="0" borderId="14" xfId="0" applyFont="1" applyBorder="1" applyAlignment="1">
      <alignment horizontal="center" vertical="center"/>
    </xf>
    <xf numFmtId="2" fontId="14" fillId="0" borderId="0" xfId="0" applyNumberFormat="1" applyFont="1" applyAlignment="1">
      <alignment horizontal="center" vertical="center"/>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14" fillId="0" borderId="14" xfId="0" applyFont="1" applyBorder="1" applyAlignment="1">
      <alignment horizontal="right" vertical="center"/>
    </xf>
    <xf numFmtId="2" fontId="0" fillId="0" borderId="0" xfId="0" applyNumberFormat="1" applyAlignment="1">
      <alignment horizontal="right"/>
    </xf>
    <xf numFmtId="2" fontId="28" fillId="2" borderId="23" xfId="0" applyNumberFormat="1" applyFont="1" applyFill="1" applyBorder="1" applyAlignment="1">
      <alignment horizontal="right" vertical="center" wrapText="1"/>
    </xf>
    <xf numFmtId="2" fontId="28" fillId="2" borderId="20" xfId="0" applyNumberFormat="1" applyFont="1" applyFill="1" applyBorder="1" applyAlignment="1">
      <alignment horizontal="right" vertical="center" wrapText="1"/>
    </xf>
    <xf numFmtId="1" fontId="28" fillId="2" borderId="10" xfId="0" applyNumberFormat="1" applyFont="1" applyFill="1" applyBorder="1" applyAlignment="1">
      <alignment horizontal="right" vertical="center" wrapText="1"/>
    </xf>
    <xf numFmtId="1" fontId="28" fillId="2" borderId="20" xfId="0" applyNumberFormat="1" applyFont="1" applyFill="1" applyBorder="1" applyAlignment="1">
      <alignment horizontal="right" vertical="center" wrapText="1"/>
    </xf>
    <xf numFmtId="10" fontId="28" fillId="0" borderId="31" xfId="0" applyNumberFormat="1" applyFont="1" applyBorder="1" applyAlignment="1">
      <alignment horizontal="right" vertical="center" wrapText="1"/>
    </xf>
    <xf numFmtId="10" fontId="28" fillId="0" borderId="32" xfId="0" applyNumberFormat="1" applyFont="1" applyBorder="1" applyAlignment="1">
      <alignment horizontal="right" vertical="center" wrapText="1"/>
    </xf>
    <xf numFmtId="1" fontId="28" fillId="0" borderId="33" xfId="0" applyNumberFormat="1" applyFont="1" applyFill="1" applyBorder="1" applyAlignment="1">
      <alignment horizontal="right" vertical="center" wrapText="1"/>
    </xf>
    <xf numFmtId="1" fontId="28" fillId="0" borderId="23" xfId="0" applyNumberFormat="1" applyFont="1" applyBorder="1" applyAlignment="1">
      <alignment horizontal="right" vertical="center" wrapText="1"/>
    </xf>
    <xf numFmtId="1" fontId="28" fillId="0" borderId="33" xfId="0" applyNumberFormat="1" applyFont="1" applyBorder="1" applyAlignment="1">
      <alignment horizontal="right" vertical="center" wrapText="1"/>
    </xf>
    <xf numFmtId="2" fontId="28" fillId="0" borderId="16" xfId="0" applyNumberFormat="1" applyFont="1" applyBorder="1" applyAlignment="1">
      <alignment horizontal="righ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46" fillId="0" borderId="0" xfId="0" applyFont="1" applyAlignment="1">
      <alignment horizontal="center"/>
    </xf>
    <xf numFmtId="0" fontId="46" fillId="0" borderId="0" xfId="0" applyFont="1" applyAlignment="1">
      <alignment horizontal="center" vertical="center" wrapText="1"/>
    </xf>
    <xf numFmtId="0" fontId="38" fillId="0" borderId="0" xfId="0" applyFont="1" applyBorder="1" applyAlignment="1">
      <alignment horizontal="left" vertical="top" wrapText="1"/>
    </xf>
    <xf numFmtId="0" fontId="37" fillId="0" borderId="0" xfId="0" applyFont="1" applyAlignment="1">
      <alignment horizontal="left" vertical="center" wrapText="1"/>
    </xf>
    <xf numFmtId="0" fontId="63" fillId="0" borderId="43" xfId="3" applyFont="1" applyFill="1" applyBorder="1" applyAlignment="1">
      <alignment horizontal="center" vertical="center" wrapText="1"/>
    </xf>
    <xf numFmtId="0" fontId="63" fillId="0" borderId="44" xfId="3" applyFont="1" applyFill="1" applyBorder="1" applyAlignment="1">
      <alignment horizontal="center" vertical="center" wrapText="1"/>
    </xf>
    <xf numFmtId="0" fontId="63" fillId="0" borderId="45" xfId="3" applyFont="1" applyFill="1" applyBorder="1" applyAlignment="1">
      <alignment horizontal="center" vertical="center" wrapText="1"/>
    </xf>
    <xf numFmtId="0" fontId="63" fillId="0" borderId="49" xfId="3" applyFont="1" applyFill="1" applyBorder="1" applyAlignment="1">
      <alignment horizontal="center" vertical="center" wrapText="1"/>
    </xf>
    <xf numFmtId="0" fontId="63" fillId="0" borderId="27" xfId="3" applyFont="1" applyFill="1" applyBorder="1" applyAlignment="1">
      <alignment horizontal="center" vertical="center" wrapText="1"/>
    </xf>
    <xf numFmtId="0" fontId="63" fillId="0" borderId="15" xfId="3" applyFont="1" applyFill="1" applyBorder="1" applyAlignment="1">
      <alignment horizontal="center" vertical="center" wrapText="1"/>
    </xf>
    <xf numFmtId="0" fontId="65" fillId="0" borderId="5" xfId="3" applyFont="1" applyFill="1" applyBorder="1" applyAlignment="1">
      <alignment horizontal="center" vertical="center" wrapText="1"/>
    </xf>
    <xf numFmtId="0" fontId="65" fillId="0" borderId="1" xfId="3" applyFont="1" applyFill="1" applyBorder="1" applyAlignment="1">
      <alignment horizontal="center" vertical="center" wrapText="1"/>
    </xf>
    <xf numFmtId="0" fontId="65" fillId="0" borderId="8" xfId="3" applyFont="1" applyFill="1" applyBorder="1" applyAlignment="1">
      <alignment horizontal="center" vertical="center" wrapText="1"/>
    </xf>
    <xf numFmtId="0" fontId="67" fillId="0" borderId="11" xfId="3" applyFont="1" applyFill="1" applyBorder="1" applyAlignment="1">
      <alignment horizontal="center" vertical="center" wrapText="1"/>
    </xf>
    <xf numFmtId="0" fontId="67" fillId="0" borderId="22" xfId="3" applyFont="1" applyFill="1" applyBorder="1" applyAlignment="1">
      <alignment horizontal="center" vertical="center" wrapText="1"/>
    </xf>
    <xf numFmtId="0" fontId="67" fillId="0" borderId="21" xfId="3" applyFont="1" applyFill="1" applyBorder="1" applyAlignment="1">
      <alignment horizontal="center" vertical="center" wrapText="1"/>
    </xf>
    <xf numFmtId="0" fontId="66" fillId="0" borderId="0" xfId="0" applyNumberFormat="1" applyFont="1" applyFill="1" applyAlignment="1">
      <alignment horizontal="left" vertical="center" wrapText="1"/>
    </xf>
    <xf numFmtId="0" fontId="68" fillId="0" borderId="0" xfId="0" applyNumberFormat="1" applyFont="1" applyFill="1" applyAlignment="1">
      <alignment horizontal="left" vertical="center" wrapText="1"/>
    </xf>
    <xf numFmtId="0" fontId="65" fillId="0" borderId="10" xfId="3" applyFont="1" applyFill="1" applyBorder="1" applyAlignment="1">
      <alignment horizontal="center" vertical="center" wrapText="1"/>
    </xf>
    <xf numFmtId="0" fontId="65" fillId="0" borderId="16" xfId="3" applyFont="1" applyFill="1" applyBorder="1" applyAlignment="1">
      <alignment horizontal="center" vertical="center" wrapText="1"/>
    </xf>
    <xf numFmtId="0" fontId="65" fillId="0" borderId="20" xfId="3" applyFont="1" applyFill="1" applyBorder="1" applyAlignment="1">
      <alignment horizontal="center" vertical="center" wrapText="1"/>
    </xf>
    <xf numFmtId="0" fontId="65" fillId="0" borderId="18" xfId="3" applyFont="1" applyFill="1" applyBorder="1" applyAlignment="1">
      <alignment horizontal="center" wrapText="1"/>
    </xf>
    <xf numFmtId="0" fontId="65" fillId="0" borderId="27" xfId="3" applyFont="1" applyFill="1" applyBorder="1" applyAlignment="1">
      <alignment horizontal="center" wrapText="1"/>
    </xf>
    <xf numFmtId="0" fontId="65" fillId="0" borderId="19" xfId="3" applyFont="1" applyFill="1" applyBorder="1" applyAlignment="1">
      <alignment horizontal="center" wrapText="1"/>
    </xf>
    <xf numFmtId="0" fontId="65" fillId="0" borderId="2" xfId="3" applyFont="1" applyFill="1" applyBorder="1" applyAlignment="1">
      <alignment horizontal="center" vertical="center" wrapText="1"/>
    </xf>
    <xf numFmtId="0" fontId="67" fillId="0" borderId="8" xfId="3" applyFont="1" applyFill="1" applyBorder="1" applyAlignment="1">
      <alignment horizontal="center" vertical="center" wrapText="1"/>
    </xf>
    <xf numFmtId="0" fontId="65" fillId="0" borderId="2" xfId="3"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sheetPr>
  <dimension ref="A2:K47"/>
  <sheetViews>
    <sheetView view="pageBreakPreview" zoomScale="60" zoomScaleNormal="60" workbookViewId="0">
      <selection activeCell="N15" sqref="N15"/>
    </sheetView>
  </sheetViews>
  <sheetFormatPr defaultRowHeight="12.75"/>
  <cols>
    <col min="1" max="1" width="8" customWidth="1"/>
    <col min="2" max="2" width="74.140625" customWidth="1"/>
    <col min="3" max="3" width="22" customWidth="1"/>
    <col min="4" max="4" width="25" customWidth="1"/>
    <col min="5" max="5" width="27" customWidth="1"/>
    <col min="6" max="6" width="26.42578125" customWidth="1"/>
    <col min="7" max="7" width="25" customWidth="1"/>
    <col min="8" max="8" width="24.140625" customWidth="1"/>
    <col min="9" max="9" width="22.140625" customWidth="1"/>
  </cols>
  <sheetData>
    <row r="2" spans="1:9" ht="33">
      <c r="I2" s="6" t="s">
        <v>69</v>
      </c>
    </row>
    <row r="5" spans="1:9" ht="37.5">
      <c r="A5" s="300" t="s">
        <v>0</v>
      </c>
      <c r="B5" s="300"/>
      <c r="C5" s="300"/>
      <c r="D5" s="300"/>
      <c r="E5" s="300"/>
      <c r="F5" s="300"/>
      <c r="G5" s="300"/>
      <c r="H5" s="300"/>
      <c r="I5" s="300"/>
    </row>
    <row r="6" spans="1:9" ht="18" customHeight="1">
      <c r="A6" s="1"/>
      <c r="B6" s="1"/>
      <c r="C6" s="1"/>
      <c r="D6" s="1"/>
      <c r="E6" s="1"/>
    </row>
    <row r="8" spans="1:9" ht="30">
      <c r="A8" s="301" t="s">
        <v>43</v>
      </c>
      <c r="B8" s="301"/>
      <c r="C8" s="301"/>
      <c r="D8" s="301"/>
      <c r="E8" s="301"/>
      <c r="F8" s="301"/>
      <c r="G8" s="301"/>
      <c r="H8" s="301"/>
      <c r="I8" s="301"/>
    </row>
    <row r="10" spans="1:9" ht="30">
      <c r="A10" s="301" t="s">
        <v>68</v>
      </c>
      <c r="B10" s="301"/>
      <c r="C10" s="301"/>
      <c r="D10" s="301"/>
      <c r="E10" s="301"/>
      <c r="F10" s="301"/>
      <c r="G10" s="301"/>
      <c r="H10" s="301"/>
      <c r="I10" s="301"/>
    </row>
    <row r="11" spans="1:9" ht="13.5" thickBot="1"/>
    <row r="12" spans="1:9" ht="21.6" customHeight="1">
      <c r="A12" s="9"/>
      <c r="B12" s="10"/>
      <c r="C12" s="10"/>
      <c r="D12" s="309" t="s">
        <v>137</v>
      </c>
      <c r="E12" s="309"/>
      <c r="F12" s="309" t="s">
        <v>67</v>
      </c>
      <c r="G12" s="309"/>
      <c r="H12" s="307" t="s">
        <v>16</v>
      </c>
      <c r="I12" s="308"/>
    </row>
    <row r="13" spans="1:9" ht="21.6" customHeight="1">
      <c r="A13" s="11"/>
      <c r="B13" s="8"/>
      <c r="C13" s="8"/>
      <c r="D13" s="112" t="s">
        <v>14</v>
      </c>
      <c r="E13" s="8" t="s">
        <v>15</v>
      </c>
      <c r="F13" s="2" t="s">
        <v>14</v>
      </c>
      <c r="G13" s="2" t="s">
        <v>15</v>
      </c>
      <c r="H13" s="310" t="s">
        <v>14</v>
      </c>
      <c r="I13" s="302" t="s">
        <v>15</v>
      </c>
    </row>
    <row r="14" spans="1:9" ht="26.25" customHeight="1">
      <c r="A14" s="11"/>
      <c r="B14" s="8"/>
      <c r="C14" s="8"/>
      <c r="D14" s="306" t="s">
        <v>145</v>
      </c>
      <c r="E14" s="306"/>
      <c r="F14" s="306" t="s">
        <v>144</v>
      </c>
      <c r="G14" s="306"/>
      <c r="H14" s="310"/>
      <c r="I14" s="302"/>
    </row>
    <row r="15" spans="1:9" ht="24" customHeight="1">
      <c r="A15" s="11"/>
      <c r="B15" s="8"/>
      <c r="C15" s="8"/>
      <c r="D15" s="305"/>
      <c r="E15" s="304"/>
      <c r="F15" s="303"/>
      <c r="G15" s="304"/>
      <c r="H15" s="22"/>
      <c r="I15" s="17"/>
    </row>
    <row r="16" spans="1:9" ht="21.6" customHeight="1">
      <c r="A16" s="11" t="s">
        <v>64</v>
      </c>
      <c r="B16" s="12" t="s">
        <v>48</v>
      </c>
      <c r="C16" s="8"/>
      <c r="D16" s="113"/>
      <c r="E16" s="73"/>
      <c r="F16" s="73"/>
      <c r="G16" s="73"/>
      <c r="H16" s="22"/>
      <c r="I16" s="17"/>
    </row>
    <row r="17" spans="1:11" ht="21.6" customHeight="1">
      <c r="A17" s="11">
        <v>1</v>
      </c>
      <c r="B17" s="12" t="s">
        <v>124</v>
      </c>
      <c r="C17" s="8" t="s">
        <v>62</v>
      </c>
      <c r="D17" s="297">
        <f>E17-9157.495</f>
        <v>2817.896999999999</v>
      </c>
      <c r="E17" s="297">
        <v>11975.392</v>
      </c>
      <c r="F17" s="297">
        <f>2857-140</f>
        <v>2717</v>
      </c>
      <c r="G17" s="297">
        <v>11019.39</v>
      </c>
      <c r="H17" s="283">
        <f>(D17-F17)/F17</f>
        <v>3.7135443503864198E-2</v>
      </c>
      <c r="I17" s="286">
        <f>(E17-G17)/G17</f>
        <v>8.6756344951943842E-2</v>
      </c>
      <c r="J17" s="121"/>
    </row>
    <row r="18" spans="1:11" ht="21.6" customHeight="1">
      <c r="A18" s="11">
        <v>2</v>
      </c>
      <c r="B18" s="12" t="s">
        <v>111</v>
      </c>
      <c r="C18" s="8" t="s">
        <v>62</v>
      </c>
      <c r="D18" s="298"/>
      <c r="E18" s="298"/>
      <c r="F18" s="298"/>
      <c r="G18" s="298"/>
      <c r="H18" s="285"/>
      <c r="I18" s="290"/>
      <c r="J18" s="121"/>
      <c r="K18" s="40"/>
    </row>
    <row r="19" spans="1:11" ht="21.6" customHeight="1">
      <c r="A19" s="11">
        <v>3</v>
      </c>
      <c r="B19" s="12" t="s">
        <v>113</v>
      </c>
      <c r="C19" s="8" t="s">
        <v>62</v>
      </c>
      <c r="D19" s="299"/>
      <c r="E19" s="299"/>
      <c r="F19" s="299"/>
      <c r="G19" s="299"/>
      <c r="H19" s="284"/>
      <c r="I19" s="287"/>
      <c r="J19" s="121"/>
    </row>
    <row r="20" spans="1:11" ht="21.6" customHeight="1">
      <c r="A20" s="11"/>
      <c r="B20" s="12" t="s">
        <v>114</v>
      </c>
      <c r="C20" s="8" t="s">
        <v>62</v>
      </c>
      <c r="D20" s="79"/>
      <c r="E20" s="79">
        <v>0</v>
      </c>
      <c r="F20" s="79"/>
      <c r="G20" s="79"/>
      <c r="H20" s="78"/>
      <c r="I20" s="148"/>
      <c r="J20" s="177"/>
    </row>
    <row r="21" spans="1:11" ht="21.6" customHeight="1">
      <c r="A21" s="11"/>
      <c r="B21" s="12" t="s">
        <v>115</v>
      </c>
      <c r="C21" s="8" t="s">
        <v>62</v>
      </c>
      <c r="D21" s="79"/>
      <c r="E21" s="79">
        <v>0</v>
      </c>
      <c r="F21" s="79"/>
      <c r="G21" s="79"/>
      <c r="H21" s="78"/>
      <c r="I21" s="148"/>
      <c r="J21" s="121"/>
    </row>
    <row r="22" spans="1:11" ht="21.6" customHeight="1">
      <c r="A22" s="11"/>
      <c r="B22" s="12" t="s">
        <v>49</v>
      </c>
      <c r="C22" s="8" t="s">
        <v>62</v>
      </c>
      <c r="D22" s="79">
        <f>+D17+D20+D21</f>
        <v>2817.896999999999</v>
      </c>
      <c r="E22" s="79">
        <f>+E17+E20+E21</f>
        <v>11975.392</v>
      </c>
      <c r="F22" s="79">
        <f>+F17+F20+F21</f>
        <v>2717</v>
      </c>
      <c r="G22" s="79">
        <f>+G17+G20+G21</f>
        <v>11019.39</v>
      </c>
      <c r="H22" s="75">
        <f>(D22-F22)/F22</f>
        <v>3.7135443503864198E-2</v>
      </c>
      <c r="I22" s="133">
        <f>(E22-G22)/G22</f>
        <v>8.6756344951943842E-2</v>
      </c>
      <c r="J22" s="178"/>
    </row>
    <row r="23" spans="1:11" ht="21.6" customHeight="1">
      <c r="A23" s="11"/>
      <c r="B23" s="12"/>
      <c r="C23" s="8"/>
      <c r="D23" s="79"/>
      <c r="E23" s="79"/>
      <c r="F23" s="79"/>
      <c r="G23" s="79"/>
      <c r="H23" s="78"/>
      <c r="I23" s="148"/>
      <c r="J23" s="121"/>
    </row>
    <row r="24" spans="1:11" ht="21.6" customHeight="1">
      <c r="A24" s="11" t="s">
        <v>65</v>
      </c>
      <c r="B24" s="12" t="s">
        <v>50</v>
      </c>
      <c r="C24" s="8"/>
      <c r="D24" s="79"/>
      <c r="E24" s="79"/>
      <c r="F24" s="79"/>
      <c r="G24" s="79"/>
      <c r="H24" s="78"/>
      <c r="I24" s="148"/>
      <c r="J24" s="121"/>
    </row>
    <row r="25" spans="1:11" ht="21.6" customHeight="1">
      <c r="A25" s="11">
        <v>1</v>
      </c>
      <c r="B25" s="12" t="s">
        <v>51</v>
      </c>
      <c r="C25" s="8" t="s">
        <v>62</v>
      </c>
      <c r="D25" s="79">
        <f>+E25-9157.495</f>
        <v>2817.896999999999</v>
      </c>
      <c r="E25" s="79">
        <f>+E22</f>
        <v>11975.392</v>
      </c>
      <c r="F25" s="79">
        <f>+F22</f>
        <v>2717</v>
      </c>
      <c r="G25" s="79">
        <f>+G17</f>
        <v>11019.39</v>
      </c>
      <c r="H25" s="75">
        <f>(D25-F25)/F25</f>
        <v>3.7135443503864198E-2</v>
      </c>
      <c r="I25" s="133">
        <f t="shared" ref="I25:I37" si="0">(E25-G25)/G25</f>
        <v>8.6756344951943842E-2</v>
      </c>
      <c r="J25" s="121"/>
    </row>
    <row r="26" spans="1:11" ht="21.6" customHeight="1">
      <c r="A26" s="11">
        <v>2</v>
      </c>
      <c r="B26" s="12" t="s">
        <v>52</v>
      </c>
      <c r="C26" s="8" t="s">
        <v>62</v>
      </c>
      <c r="D26" s="79">
        <f>+D25</f>
        <v>2817.896999999999</v>
      </c>
      <c r="E26" s="79">
        <f>+E25</f>
        <v>11975.392</v>
      </c>
      <c r="F26" s="79">
        <f>+F25</f>
        <v>2717</v>
      </c>
      <c r="G26" s="79">
        <f>+G25</f>
        <v>11019.39</v>
      </c>
      <c r="H26" s="75">
        <f t="shared" ref="H26:H28" si="1">(D26-F26)/F26</f>
        <v>3.7135443503864198E-2</v>
      </c>
      <c r="I26" s="133">
        <f t="shared" si="0"/>
        <v>8.6756344951943842E-2</v>
      </c>
      <c r="J26" s="121"/>
    </row>
    <row r="27" spans="1:11" ht="21.6" customHeight="1">
      <c r="A27" s="11">
        <v>3</v>
      </c>
      <c r="B27" s="12" t="s">
        <v>112</v>
      </c>
      <c r="C27" s="8" t="s">
        <v>62</v>
      </c>
      <c r="D27" s="79">
        <f>+E27-7766</f>
        <v>2363.3070000000007</v>
      </c>
      <c r="E27" s="79">
        <v>10129.307000000001</v>
      </c>
      <c r="F27" s="79">
        <f>2391-120</f>
        <v>2271</v>
      </c>
      <c r="G27" s="79">
        <v>9280.8580000000002</v>
      </c>
      <c r="H27" s="75">
        <f t="shared" si="1"/>
        <v>4.0645970937913119E-2</v>
      </c>
      <c r="I27" s="133">
        <f t="shared" si="0"/>
        <v>9.1419241626151435E-2</v>
      </c>
      <c r="J27" s="121"/>
    </row>
    <row r="28" spans="1:11" ht="21.6" customHeight="1">
      <c r="A28" s="11">
        <v>4</v>
      </c>
      <c r="B28" s="12" t="s">
        <v>116</v>
      </c>
      <c r="C28" s="8" t="s">
        <v>62</v>
      </c>
      <c r="D28" s="79">
        <f>+D26-D27</f>
        <v>454.58999999999833</v>
      </c>
      <c r="E28" s="79">
        <f>+E26-E27</f>
        <v>1846.0849999999991</v>
      </c>
      <c r="F28" s="79">
        <f>+F26-F27</f>
        <v>446</v>
      </c>
      <c r="G28" s="79">
        <f>+G26-G27</f>
        <v>1738.5319999999992</v>
      </c>
      <c r="H28" s="75">
        <f t="shared" si="1"/>
        <v>1.9260089686094904E-2</v>
      </c>
      <c r="I28" s="75">
        <f t="shared" si="0"/>
        <v>6.1864262492723705E-2</v>
      </c>
      <c r="J28" s="121"/>
    </row>
    <row r="29" spans="1:11" ht="21.6" customHeight="1">
      <c r="A29" s="11">
        <v>5</v>
      </c>
      <c r="B29" s="12" t="s">
        <v>53</v>
      </c>
      <c r="C29" s="8" t="s">
        <v>35</v>
      </c>
      <c r="D29" s="75">
        <f>D28/D26</f>
        <v>0.16132243300589003</v>
      </c>
      <c r="E29" s="75">
        <f>E28/E26</f>
        <v>0.15415654034540158</v>
      </c>
      <c r="F29" s="75">
        <f>F28/F26</f>
        <v>0.16415163783584835</v>
      </c>
      <c r="G29" s="75">
        <f>G28/G26</f>
        <v>0.15777025770029007</v>
      </c>
      <c r="H29" s="75">
        <f>D29-F29</f>
        <v>-2.8292048299583261E-3</v>
      </c>
      <c r="I29" s="133">
        <f>(E29-G29)</f>
        <v>-3.613717354888496E-3</v>
      </c>
      <c r="J29" s="121"/>
    </row>
    <row r="30" spans="1:11" ht="21.6" customHeight="1">
      <c r="A30" s="11"/>
      <c r="B30" s="12"/>
      <c r="C30" s="8"/>
      <c r="D30" s="74"/>
      <c r="E30" s="74"/>
      <c r="F30" s="74"/>
      <c r="G30" s="74"/>
      <c r="H30" s="75"/>
      <c r="I30" s="133"/>
      <c r="J30" s="121"/>
    </row>
    <row r="31" spans="1:11" ht="21.6" customHeight="1">
      <c r="A31" s="11" t="s">
        <v>66</v>
      </c>
      <c r="B31" s="12" t="s">
        <v>54</v>
      </c>
      <c r="C31" s="8"/>
      <c r="D31" s="74"/>
      <c r="E31" s="74"/>
      <c r="F31" s="74"/>
      <c r="G31" s="74"/>
      <c r="H31" s="75"/>
      <c r="I31" s="133"/>
      <c r="J31" s="121"/>
    </row>
    <row r="32" spans="1:11" ht="21.6" customHeight="1">
      <c r="A32" s="11">
        <v>1</v>
      </c>
      <c r="B32" s="12" t="s">
        <v>55</v>
      </c>
      <c r="C32" s="295" t="s">
        <v>63</v>
      </c>
      <c r="D32" s="288">
        <f>+E32-5108.18</f>
        <v>1555.1599999999999</v>
      </c>
      <c r="E32" s="288">
        <f>+'SHEET-5'!E25+60.62+67.9+73.5+69.46+67.27+63.45+65.47+71.92+67.62+63.6+57.83+49.37</f>
        <v>6663.34</v>
      </c>
      <c r="F32" s="288">
        <v>1480.08</v>
      </c>
      <c r="G32" s="288">
        <v>6008.34</v>
      </c>
      <c r="H32" s="283">
        <f>(D32-F32)/F32</f>
        <v>5.0726987730392907E-2</v>
      </c>
      <c r="I32" s="286">
        <f t="shared" si="0"/>
        <v>0.10901513562814355</v>
      </c>
      <c r="J32" s="121"/>
    </row>
    <row r="33" spans="1:10" ht="21.6" customHeight="1">
      <c r="A33" s="11">
        <v>2</v>
      </c>
      <c r="B33" s="12" t="s">
        <v>56</v>
      </c>
      <c r="C33" s="296"/>
      <c r="D33" s="291"/>
      <c r="E33" s="289"/>
      <c r="F33" s="291"/>
      <c r="G33" s="289"/>
      <c r="H33" s="284"/>
      <c r="I33" s="287"/>
      <c r="J33" s="121"/>
    </row>
    <row r="34" spans="1:10" ht="21.6" customHeight="1">
      <c r="A34" s="11">
        <v>3</v>
      </c>
      <c r="B34" s="12" t="s">
        <v>57</v>
      </c>
      <c r="C34" s="8" t="s">
        <v>63</v>
      </c>
      <c r="D34" s="76">
        <f>+D32</f>
        <v>1555.1599999999999</v>
      </c>
      <c r="E34" s="76">
        <f>+E32</f>
        <v>6663.34</v>
      </c>
      <c r="F34" s="76">
        <f>+F32</f>
        <v>1480.08</v>
      </c>
      <c r="G34" s="76">
        <f>+G32</f>
        <v>6008.34</v>
      </c>
      <c r="H34" s="75">
        <f>(D34-F34)/F34</f>
        <v>5.0726987730392907E-2</v>
      </c>
      <c r="I34" s="133">
        <f t="shared" si="0"/>
        <v>0.10901513562814355</v>
      </c>
      <c r="J34" s="121"/>
    </row>
    <row r="35" spans="1:10" ht="21.6" customHeight="1">
      <c r="A35" s="11">
        <v>4</v>
      </c>
      <c r="B35" s="12" t="s">
        <v>58</v>
      </c>
      <c r="C35" s="295" t="s">
        <v>63</v>
      </c>
      <c r="D35" s="293">
        <f>+E35-5020.83</f>
        <v>1644.4400000000005</v>
      </c>
      <c r="E35" s="293">
        <v>6665.27</v>
      </c>
      <c r="F35" s="288">
        <v>1572.73</v>
      </c>
      <c r="G35" s="288">
        <v>6011.34</v>
      </c>
      <c r="H35" s="283">
        <f>(D35-F35)/F35</f>
        <v>4.5595874689234955E-2</v>
      </c>
      <c r="I35" s="286">
        <f t="shared" si="0"/>
        <v>0.10878273396613738</v>
      </c>
      <c r="J35" s="121"/>
    </row>
    <row r="36" spans="1:10" ht="21.6" customHeight="1">
      <c r="A36" s="11">
        <v>5</v>
      </c>
      <c r="B36" s="12" t="s">
        <v>59</v>
      </c>
      <c r="C36" s="296"/>
      <c r="D36" s="294"/>
      <c r="E36" s="294"/>
      <c r="F36" s="291"/>
      <c r="G36" s="291"/>
      <c r="H36" s="284"/>
      <c r="I36" s="287"/>
      <c r="J36" s="121"/>
    </row>
    <row r="37" spans="1:10" ht="21.6" customHeight="1">
      <c r="A37" s="11">
        <v>6</v>
      </c>
      <c r="B37" s="12" t="s">
        <v>60</v>
      </c>
      <c r="C37" s="8" t="s">
        <v>63</v>
      </c>
      <c r="D37" s="153">
        <f>+D35</f>
        <v>1644.4400000000005</v>
      </c>
      <c r="E37" s="153">
        <f>+E35</f>
        <v>6665.27</v>
      </c>
      <c r="F37" s="76">
        <f>+F35</f>
        <v>1572.73</v>
      </c>
      <c r="G37" s="76">
        <f>+G35</f>
        <v>6011.34</v>
      </c>
      <c r="H37" s="75">
        <f>(D37-F37)/F37</f>
        <v>4.5595874689234955E-2</v>
      </c>
      <c r="I37" s="133">
        <f t="shared" si="0"/>
        <v>0.10878273396613738</v>
      </c>
      <c r="J37" s="121"/>
    </row>
    <row r="38" spans="1:10" ht="21.6" customHeight="1">
      <c r="A38" s="11">
        <v>7</v>
      </c>
      <c r="B38" s="12" t="s">
        <v>61</v>
      </c>
      <c r="C38" s="8" t="s">
        <v>35</v>
      </c>
      <c r="D38" s="75">
        <f t="shared" ref="D38:E38" si="2">D37/D34</f>
        <v>1.0574088839733538</v>
      </c>
      <c r="E38" s="75">
        <f t="shared" si="2"/>
        <v>1.0002896445326219</v>
      </c>
      <c r="F38" s="75">
        <f t="shared" ref="F38:G38" si="3">F37/F34</f>
        <v>1.0625979676774229</v>
      </c>
      <c r="G38" s="75">
        <f t="shared" si="3"/>
        <v>1.0004993059647092</v>
      </c>
      <c r="H38" s="75">
        <f>D38-F38</f>
        <v>-5.1890837040691196E-3</v>
      </c>
      <c r="I38" s="133">
        <f>E38-G38</f>
        <v>-2.0966143208722698E-4</v>
      </c>
      <c r="J38" s="121"/>
    </row>
    <row r="39" spans="1:10" ht="21.6" customHeight="1" thickBot="1">
      <c r="A39" s="14"/>
      <c r="B39" s="15"/>
      <c r="C39" s="23"/>
      <c r="D39" s="77"/>
      <c r="E39" s="77"/>
      <c r="F39" s="77"/>
      <c r="G39" s="77"/>
      <c r="H39" s="77"/>
      <c r="I39" s="122"/>
      <c r="J39" s="121"/>
    </row>
    <row r="40" spans="1:10" ht="18">
      <c r="D40" s="121"/>
      <c r="E40" s="121"/>
      <c r="F40" s="123"/>
      <c r="G40" s="123"/>
      <c r="H40" s="121"/>
      <c r="I40" s="121"/>
      <c r="J40" s="121"/>
    </row>
    <row r="41" spans="1:10" ht="18">
      <c r="F41" s="108"/>
    </row>
    <row r="42" spans="1:10" ht="16.5" customHeight="1"/>
    <row r="43" spans="1:10" ht="12.75" customHeight="1">
      <c r="A43" s="292" t="s">
        <v>138</v>
      </c>
      <c r="B43" s="292"/>
    </row>
    <row r="47" spans="1:10" ht="18">
      <c r="D47">
        <v>7708.39</v>
      </c>
      <c r="E47">
        <v>7710.62</v>
      </c>
      <c r="F47" s="163">
        <f>+E47/D47</f>
        <v>1.0002892951705868</v>
      </c>
    </row>
  </sheetData>
  <mergeCells count="33">
    <mergeCell ref="F17:F19"/>
    <mergeCell ref="G17:G19"/>
    <mergeCell ref="E17:E19"/>
    <mergeCell ref="D17:D19"/>
    <mergeCell ref="A5:I5"/>
    <mergeCell ref="A8:I8"/>
    <mergeCell ref="A10:I10"/>
    <mergeCell ref="I13:I14"/>
    <mergeCell ref="F15:G15"/>
    <mergeCell ref="D15:E15"/>
    <mergeCell ref="D14:E14"/>
    <mergeCell ref="H12:I12"/>
    <mergeCell ref="D12:E12"/>
    <mergeCell ref="F12:G12"/>
    <mergeCell ref="H13:H14"/>
    <mergeCell ref="F14:G14"/>
    <mergeCell ref="A43:B43"/>
    <mergeCell ref="E32:E33"/>
    <mergeCell ref="F32:F33"/>
    <mergeCell ref="E35:E36"/>
    <mergeCell ref="C35:C36"/>
    <mergeCell ref="C32:C33"/>
    <mergeCell ref="D32:D33"/>
    <mergeCell ref="D35:D36"/>
    <mergeCell ref="F35:F36"/>
    <mergeCell ref="H35:H36"/>
    <mergeCell ref="H17:H19"/>
    <mergeCell ref="I35:I36"/>
    <mergeCell ref="I32:I33"/>
    <mergeCell ref="G32:G33"/>
    <mergeCell ref="I17:I19"/>
    <mergeCell ref="H32:H33"/>
    <mergeCell ref="G35:G36"/>
  </mergeCells>
  <phoneticPr fontId="1" type="noConversion"/>
  <printOptions horizontalCentered="1" verticalCentered="1"/>
  <pageMargins left="0.25" right="0.25" top="0.75" bottom="0.25" header="0.5" footer="0.5"/>
  <pageSetup paperSize="9" scale="53" orientation="landscape" r:id="rId1"/>
  <headerFooter alignWithMargins="0"/>
</worksheet>
</file>

<file path=xl/worksheets/sheet10.xml><?xml version="1.0" encoding="utf-8"?>
<worksheet xmlns="http://schemas.openxmlformats.org/spreadsheetml/2006/main" xmlns:r="http://schemas.openxmlformats.org/officeDocument/2006/relationships">
  <dimension ref="B1:U31"/>
  <sheetViews>
    <sheetView tabSelected="1" view="pageBreakPreview" topLeftCell="A13" zoomScale="60" workbookViewId="0">
      <selection activeCell="U13" sqref="U13"/>
    </sheetView>
  </sheetViews>
  <sheetFormatPr defaultRowHeight="15"/>
  <cols>
    <col min="1" max="1" width="1.5703125" style="260" customWidth="1"/>
    <col min="2" max="2" width="4.85546875" style="260" customWidth="1"/>
    <col min="3" max="3" width="9.140625" style="260" customWidth="1"/>
    <col min="4" max="4" width="12.28515625" style="260" customWidth="1"/>
    <col min="5" max="5" width="9.140625" style="260" customWidth="1"/>
    <col min="6" max="6" width="14.7109375" style="260" customWidth="1"/>
    <col min="7" max="7" width="9.140625" style="260" customWidth="1"/>
    <col min="8" max="8" width="2" style="260" customWidth="1"/>
    <col min="9" max="9" width="9.140625" style="260"/>
    <col min="10" max="10" width="14.7109375" style="260" customWidth="1"/>
    <col min="11" max="11" width="9.140625" style="260"/>
    <col min="12" max="12" width="14.5703125" style="260" customWidth="1"/>
    <col min="13" max="13" width="16.42578125" style="260" customWidth="1"/>
    <col min="14" max="16384" width="9.140625" style="260"/>
  </cols>
  <sheetData>
    <row r="1" spans="2:21" ht="24.75" customHeight="1" thickBot="1">
      <c r="B1" s="345" t="s">
        <v>185</v>
      </c>
      <c r="C1" s="346"/>
      <c r="D1" s="346"/>
      <c r="E1" s="346"/>
      <c r="F1" s="346"/>
      <c r="G1" s="346"/>
      <c r="H1" s="346"/>
      <c r="I1" s="346"/>
      <c r="J1" s="346"/>
      <c r="K1" s="346"/>
      <c r="L1" s="346"/>
      <c r="M1" s="347"/>
    </row>
    <row r="2" spans="2:21" ht="5.25" customHeight="1">
      <c r="B2" s="261"/>
      <c r="C2" s="262"/>
      <c r="D2" s="262"/>
      <c r="E2" s="262"/>
      <c r="F2" s="262"/>
      <c r="G2" s="262"/>
      <c r="H2" s="262"/>
      <c r="I2" s="262"/>
      <c r="J2" s="262"/>
      <c r="K2" s="262"/>
      <c r="L2" s="262"/>
      <c r="M2" s="263"/>
    </row>
    <row r="3" spans="2:21" ht="21.75" customHeight="1">
      <c r="B3" s="348" t="s">
        <v>186</v>
      </c>
      <c r="C3" s="349"/>
      <c r="D3" s="349"/>
      <c r="E3" s="349"/>
      <c r="F3" s="349"/>
      <c r="G3" s="349"/>
      <c r="H3" s="349"/>
      <c r="I3" s="349"/>
      <c r="J3" s="349"/>
      <c r="K3" s="349"/>
      <c r="L3" s="349"/>
      <c r="M3" s="350"/>
    </row>
    <row r="4" spans="2:21" ht="27.75" customHeight="1">
      <c r="B4" s="351" t="s">
        <v>187</v>
      </c>
      <c r="C4" s="352" t="s">
        <v>188</v>
      </c>
      <c r="D4" s="352" t="s">
        <v>189</v>
      </c>
      <c r="E4" s="352" t="s">
        <v>190</v>
      </c>
      <c r="F4" s="352"/>
      <c r="G4" s="352"/>
      <c r="H4" s="264"/>
      <c r="I4" s="352" t="s">
        <v>191</v>
      </c>
      <c r="J4" s="352"/>
      <c r="K4" s="352"/>
      <c r="L4" s="352" t="s">
        <v>192</v>
      </c>
      <c r="M4" s="353" t="s">
        <v>193</v>
      </c>
    </row>
    <row r="5" spans="2:21" ht="78.75" customHeight="1">
      <c r="B5" s="351"/>
      <c r="C5" s="352"/>
      <c r="D5" s="352"/>
      <c r="E5" s="264" t="s">
        <v>194</v>
      </c>
      <c r="F5" s="264" t="s">
        <v>195</v>
      </c>
      <c r="G5" s="264" t="s">
        <v>196</v>
      </c>
      <c r="H5" s="264"/>
      <c r="I5" s="265" t="s">
        <v>194</v>
      </c>
      <c r="J5" s="265" t="s">
        <v>197</v>
      </c>
      <c r="K5" s="265" t="s">
        <v>196</v>
      </c>
      <c r="L5" s="352"/>
      <c r="M5" s="353"/>
    </row>
    <row r="6" spans="2:21">
      <c r="B6" s="266">
        <v>1</v>
      </c>
      <c r="C6" s="352" t="s">
        <v>198</v>
      </c>
      <c r="D6" s="267" t="s">
        <v>199</v>
      </c>
      <c r="E6" s="268">
        <v>32</v>
      </c>
      <c r="F6" s="267">
        <v>0</v>
      </c>
      <c r="G6" s="269">
        <v>1.53</v>
      </c>
      <c r="H6" s="267"/>
      <c r="I6" s="268">
        <v>29</v>
      </c>
      <c r="J6" s="267">
        <v>0</v>
      </c>
      <c r="K6" s="267">
        <v>1.72</v>
      </c>
      <c r="L6" s="267">
        <v>0</v>
      </c>
      <c r="M6" s="354"/>
    </row>
    <row r="7" spans="2:21">
      <c r="B7" s="266">
        <v>2</v>
      </c>
      <c r="C7" s="352"/>
      <c r="D7" s="267" t="s">
        <v>200</v>
      </c>
      <c r="E7" s="268">
        <v>16</v>
      </c>
      <c r="F7" s="267">
        <v>0</v>
      </c>
      <c r="G7" s="269">
        <v>1.7456804623767264</v>
      </c>
      <c r="H7" s="267"/>
      <c r="I7" s="268">
        <v>16</v>
      </c>
      <c r="J7" s="267">
        <v>0</v>
      </c>
      <c r="K7" s="267">
        <v>2.0699999999999998</v>
      </c>
      <c r="L7" s="267">
        <v>0</v>
      </c>
      <c r="M7" s="355"/>
    </row>
    <row r="8" spans="2:21">
      <c r="B8" s="266">
        <v>3</v>
      </c>
      <c r="C8" s="352"/>
      <c r="D8" s="267" t="s">
        <v>201</v>
      </c>
      <c r="E8" s="268">
        <v>17</v>
      </c>
      <c r="F8" s="267">
        <v>0</v>
      </c>
      <c r="G8" s="269">
        <v>1.0650444099814365</v>
      </c>
      <c r="H8" s="267"/>
      <c r="I8" s="268">
        <v>17</v>
      </c>
      <c r="J8" s="267">
        <v>0</v>
      </c>
      <c r="K8" s="267">
        <v>1.59</v>
      </c>
      <c r="L8" s="267">
        <v>0</v>
      </c>
      <c r="M8" s="355"/>
    </row>
    <row r="9" spans="2:21">
      <c r="B9" s="266">
        <v>4</v>
      </c>
      <c r="C9" s="352"/>
      <c r="D9" s="267" t="s">
        <v>202</v>
      </c>
      <c r="E9" s="268">
        <v>1</v>
      </c>
      <c r="F9" s="267">
        <v>0</v>
      </c>
      <c r="G9" s="269">
        <v>1.9860312042905888</v>
      </c>
      <c r="H9" s="270"/>
      <c r="I9" s="268">
        <v>1</v>
      </c>
      <c r="J9" s="267">
        <v>0</v>
      </c>
      <c r="K9" s="267">
        <v>2.04</v>
      </c>
      <c r="L9" s="267">
        <v>0</v>
      </c>
      <c r="M9" s="355"/>
    </row>
    <row r="10" spans="2:21">
      <c r="B10" s="266">
        <v>5</v>
      </c>
      <c r="C10" s="352"/>
      <c r="D10" s="267" t="s">
        <v>203</v>
      </c>
      <c r="E10" s="268">
        <v>16</v>
      </c>
      <c r="F10" s="267">
        <v>0</v>
      </c>
      <c r="G10" s="269">
        <v>-1.1231565296582282</v>
      </c>
      <c r="H10" s="270"/>
      <c r="I10" s="268">
        <v>16</v>
      </c>
      <c r="J10" s="267">
        <v>0</v>
      </c>
      <c r="K10" s="267">
        <v>1.7</v>
      </c>
      <c r="L10" s="267">
        <v>0</v>
      </c>
      <c r="M10" s="355"/>
    </row>
    <row r="11" spans="2:21">
      <c r="B11" s="266"/>
      <c r="C11" s="352"/>
      <c r="D11" s="271" t="s">
        <v>159</v>
      </c>
      <c r="E11" s="272">
        <f>SUM(E6:E10)</f>
        <v>82</v>
      </c>
      <c r="F11" s="272">
        <v>0</v>
      </c>
      <c r="G11" s="273">
        <v>0.95959641380977068</v>
      </c>
      <c r="H11" s="272"/>
      <c r="I11" s="272">
        <v>79</v>
      </c>
      <c r="J11" s="272">
        <v>0</v>
      </c>
      <c r="K11" s="267">
        <v>1.76</v>
      </c>
      <c r="L11" s="272">
        <f>SUM(L6:L10)</f>
        <v>0</v>
      </c>
      <c r="M11" s="356"/>
    </row>
    <row r="12" spans="2:21" s="274" customFormat="1" ht="27.75" customHeight="1">
      <c r="B12" s="351" t="s">
        <v>187</v>
      </c>
      <c r="C12" s="352" t="s">
        <v>188</v>
      </c>
      <c r="D12" s="352" t="s">
        <v>189</v>
      </c>
      <c r="E12" s="352" t="s">
        <v>190</v>
      </c>
      <c r="F12" s="352"/>
      <c r="G12" s="352"/>
      <c r="H12" s="264"/>
      <c r="I12" s="352" t="s">
        <v>191</v>
      </c>
      <c r="J12" s="352"/>
      <c r="K12" s="352"/>
      <c r="L12" s="352" t="s">
        <v>204</v>
      </c>
      <c r="M12" s="353" t="s">
        <v>193</v>
      </c>
    </row>
    <row r="13" spans="2:21" ht="79.5" customHeight="1">
      <c r="B13" s="351"/>
      <c r="C13" s="352"/>
      <c r="D13" s="352"/>
      <c r="E13" s="264" t="s">
        <v>194</v>
      </c>
      <c r="F13" s="264" t="s">
        <v>205</v>
      </c>
      <c r="G13" s="264" t="s">
        <v>196</v>
      </c>
      <c r="H13" s="264"/>
      <c r="I13" s="265" t="s">
        <v>194</v>
      </c>
      <c r="J13" s="265" t="s">
        <v>205</v>
      </c>
      <c r="K13" s="265" t="s">
        <v>196</v>
      </c>
      <c r="L13" s="352"/>
      <c r="M13" s="353"/>
      <c r="U13" s="260" t="s">
        <v>218</v>
      </c>
    </row>
    <row r="14" spans="2:21">
      <c r="B14" s="266">
        <v>1</v>
      </c>
      <c r="C14" s="359" t="s">
        <v>206</v>
      </c>
      <c r="D14" s="267" t="s">
        <v>199</v>
      </c>
      <c r="E14" s="268">
        <v>19</v>
      </c>
      <c r="F14" s="267">
        <v>0</v>
      </c>
      <c r="G14" s="269">
        <v>7.0302748482400119</v>
      </c>
      <c r="H14" s="267"/>
      <c r="I14" s="268">
        <v>19</v>
      </c>
      <c r="J14" s="267">
        <v>0</v>
      </c>
      <c r="K14" s="267">
        <v>6.96</v>
      </c>
      <c r="L14" s="267">
        <v>0</v>
      </c>
      <c r="M14" s="354" t="s">
        <v>207</v>
      </c>
    </row>
    <row r="15" spans="2:21">
      <c r="B15" s="266">
        <v>2</v>
      </c>
      <c r="C15" s="360"/>
      <c r="D15" s="267" t="s">
        <v>200</v>
      </c>
      <c r="E15" s="268">
        <v>247</v>
      </c>
      <c r="F15" s="267">
        <v>0</v>
      </c>
      <c r="G15" s="269">
        <v>4.1470103101517681</v>
      </c>
      <c r="H15" s="267"/>
      <c r="I15" s="268">
        <v>237</v>
      </c>
      <c r="J15" s="267">
        <v>0</v>
      </c>
      <c r="K15" s="269">
        <v>5.63</v>
      </c>
      <c r="L15" s="267">
        <v>0</v>
      </c>
      <c r="M15" s="355"/>
    </row>
    <row r="16" spans="2:21">
      <c r="B16" s="266">
        <v>3</v>
      </c>
      <c r="C16" s="360"/>
      <c r="D16" s="267" t="s">
        <v>201</v>
      </c>
      <c r="E16" s="268">
        <v>49</v>
      </c>
      <c r="F16" s="267" t="s">
        <v>208</v>
      </c>
      <c r="G16" s="269">
        <v>6.1964919850722735</v>
      </c>
      <c r="H16" s="267"/>
      <c r="I16" s="268">
        <v>40</v>
      </c>
      <c r="J16" s="267">
        <v>0</v>
      </c>
      <c r="K16" s="269">
        <v>7.51</v>
      </c>
      <c r="L16" s="267">
        <v>0</v>
      </c>
      <c r="M16" s="355"/>
    </row>
    <row r="17" spans="2:13">
      <c r="B17" s="266">
        <v>4</v>
      </c>
      <c r="C17" s="360"/>
      <c r="D17" s="267" t="s">
        <v>202</v>
      </c>
      <c r="E17" s="268">
        <v>35</v>
      </c>
      <c r="F17" s="267">
        <v>0</v>
      </c>
      <c r="G17" s="269">
        <v>6.1883918139879528</v>
      </c>
      <c r="H17" s="267"/>
      <c r="I17" s="268">
        <v>35</v>
      </c>
      <c r="J17" s="267">
        <v>0</v>
      </c>
      <c r="K17" s="269">
        <v>7.15</v>
      </c>
      <c r="L17" s="267">
        <v>0</v>
      </c>
      <c r="M17" s="355"/>
    </row>
    <row r="18" spans="2:13">
      <c r="B18" s="266">
        <v>5</v>
      </c>
      <c r="C18" s="360"/>
      <c r="D18" s="267" t="s">
        <v>203</v>
      </c>
      <c r="E18" s="268">
        <v>44</v>
      </c>
      <c r="F18" s="267" t="s">
        <v>209</v>
      </c>
      <c r="G18" s="269">
        <v>18.398146363260619</v>
      </c>
      <c r="H18" s="267"/>
      <c r="I18" s="268">
        <v>42</v>
      </c>
      <c r="J18" s="267" t="s">
        <v>210</v>
      </c>
      <c r="K18" s="269">
        <v>19.5</v>
      </c>
      <c r="L18" s="267">
        <v>0</v>
      </c>
      <c r="M18" s="355"/>
    </row>
    <row r="19" spans="2:13">
      <c r="B19" s="266"/>
      <c r="C19" s="360"/>
      <c r="D19" s="275" t="s">
        <v>159</v>
      </c>
      <c r="E19" s="272">
        <f>SUM(E14:E18)</f>
        <v>394</v>
      </c>
      <c r="F19" s="272" t="s">
        <v>211</v>
      </c>
      <c r="G19" s="273">
        <v>6.5644728641574908</v>
      </c>
      <c r="H19" s="272"/>
      <c r="I19" s="272">
        <v>373</v>
      </c>
      <c r="J19" s="272" t="s">
        <v>212</v>
      </c>
      <c r="K19" s="269">
        <v>7.83</v>
      </c>
      <c r="L19" s="272">
        <f>SUM(L14:L18)</f>
        <v>0</v>
      </c>
      <c r="M19" s="356"/>
    </row>
    <row r="20" spans="2:13">
      <c r="B20" s="266"/>
      <c r="C20" s="361"/>
      <c r="D20" s="271"/>
      <c r="E20" s="362" t="s">
        <v>213</v>
      </c>
      <c r="F20" s="363"/>
      <c r="G20" s="364"/>
      <c r="H20" s="272"/>
      <c r="I20" s="362" t="s">
        <v>213</v>
      </c>
      <c r="J20" s="363"/>
      <c r="K20" s="364"/>
      <c r="L20" s="272"/>
      <c r="M20" s="276"/>
    </row>
    <row r="21" spans="2:13" s="274" customFormat="1" ht="27.75" customHeight="1">
      <c r="B21" s="351" t="s">
        <v>187</v>
      </c>
      <c r="C21" s="352" t="s">
        <v>188</v>
      </c>
      <c r="D21" s="352" t="s">
        <v>189</v>
      </c>
      <c r="E21" s="352" t="s">
        <v>190</v>
      </c>
      <c r="F21" s="352"/>
      <c r="G21" s="352"/>
      <c r="H21" s="264"/>
      <c r="I21" s="352" t="s">
        <v>191</v>
      </c>
      <c r="J21" s="352"/>
      <c r="K21" s="352"/>
      <c r="L21" s="352" t="s">
        <v>214</v>
      </c>
      <c r="M21" s="353" t="s">
        <v>193</v>
      </c>
    </row>
    <row r="22" spans="2:13" ht="79.5" customHeight="1">
      <c r="B22" s="351"/>
      <c r="C22" s="352"/>
      <c r="D22" s="352"/>
      <c r="E22" s="264" t="s">
        <v>194</v>
      </c>
      <c r="F22" s="264" t="s">
        <v>215</v>
      </c>
      <c r="G22" s="264" t="s">
        <v>196</v>
      </c>
      <c r="H22" s="264"/>
      <c r="I22" s="265" t="s">
        <v>194</v>
      </c>
      <c r="J22" s="265" t="s">
        <v>215</v>
      </c>
      <c r="K22" s="265" t="s">
        <v>196</v>
      </c>
      <c r="L22" s="352"/>
      <c r="M22" s="353"/>
    </row>
    <row r="23" spans="2:13">
      <c r="B23" s="266">
        <v>1</v>
      </c>
      <c r="C23" s="352" t="s">
        <v>216</v>
      </c>
      <c r="D23" s="267" t="s">
        <v>199</v>
      </c>
      <c r="E23" s="268">
        <v>50</v>
      </c>
      <c r="F23" s="267">
        <v>0</v>
      </c>
      <c r="G23" s="269">
        <v>2.077144550248426</v>
      </c>
      <c r="H23" s="267"/>
      <c r="I23" s="268">
        <v>48</v>
      </c>
      <c r="J23" s="267">
        <v>0</v>
      </c>
      <c r="K23" s="267">
        <v>2.5099999999999998</v>
      </c>
      <c r="L23" s="267">
        <v>0</v>
      </c>
      <c r="M23" s="366" t="s">
        <v>207</v>
      </c>
    </row>
    <row r="24" spans="2:13">
      <c r="B24" s="266">
        <v>2</v>
      </c>
      <c r="C24" s="352"/>
      <c r="D24" s="267" t="s">
        <v>200</v>
      </c>
      <c r="E24" s="268">
        <v>3</v>
      </c>
      <c r="F24" s="267">
        <v>0</v>
      </c>
      <c r="G24" s="269">
        <v>1.64</v>
      </c>
      <c r="H24" s="267"/>
      <c r="I24" s="268">
        <v>3</v>
      </c>
      <c r="J24" s="267">
        <v>0</v>
      </c>
      <c r="K24" s="267">
        <v>1.71</v>
      </c>
      <c r="L24" s="267">
        <v>0</v>
      </c>
      <c r="M24" s="366"/>
    </row>
    <row r="25" spans="2:13">
      <c r="B25" s="266">
        <v>3</v>
      </c>
      <c r="C25" s="352"/>
      <c r="D25" s="267" t="s">
        <v>201</v>
      </c>
      <c r="E25" s="268">
        <v>5</v>
      </c>
      <c r="F25" s="267">
        <v>0</v>
      </c>
      <c r="G25" s="269">
        <v>1.7812930264701055</v>
      </c>
      <c r="H25" s="267"/>
      <c r="I25" s="268">
        <v>5</v>
      </c>
      <c r="J25" s="267">
        <v>0</v>
      </c>
      <c r="K25" s="267">
        <v>2.09</v>
      </c>
      <c r="L25" s="267">
        <v>0</v>
      </c>
      <c r="M25" s="366"/>
    </row>
    <row r="26" spans="2:13">
      <c r="B26" s="266">
        <v>4</v>
      </c>
      <c r="C26" s="352"/>
      <c r="D26" s="267" t="s">
        <v>202</v>
      </c>
      <c r="E26" s="268">
        <v>11</v>
      </c>
      <c r="F26" s="267">
        <v>0</v>
      </c>
      <c r="G26" s="269">
        <v>2.6087883409295629</v>
      </c>
      <c r="H26" s="267"/>
      <c r="I26" s="268">
        <v>11</v>
      </c>
      <c r="J26" s="267">
        <v>0</v>
      </c>
      <c r="K26" s="267">
        <v>2.94</v>
      </c>
      <c r="L26" s="267">
        <v>0</v>
      </c>
      <c r="M26" s="366"/>
    </row>
    <row r="27" spans="2:13">
      <c r="B27" s="266">
        <v>5</v>
      </c>
      <c r="C27" s="352"/>
      <c r="D27" s="267" t="s">
        <v>203</v>
      </c>
      <c r="E27" s="267">
        <v>35</v>
      </c>
      <c r="F27" s="267" t="s">
        <v>217</v>
      </c>
      <c r="G27" s="269">
        <v>1.9917253453623174</v>
      </c>
      <c r="H27" s="272"/>
      <c r="I27" s="267">
        <v>34</v>
      </c>
      <c r="J27" s="267">
        <v>0</v>
      </c>
      <c r="K27" s="269">
        <v>1.8</v>
      </c>
      <c r="L27" s="267">
        <v>1</v>
      </c>
      <c r="M27" s="366"/>
    </row>
    <row r="28" spans="2:13">
      <c r="B28" s="277"/>
      <c r="C28" s="352"/>
      <c r="D28" s="275" t="s">
        <v>159</v>
      </c>
      <c r="E28" s="272">
        <f>SUM(E23:E27)</f>
        <v>104</v>
      </c>
      <c r="F28" s="272" t="s">
        <v>217</v>
      </c>
      <c r="G28" s="273">
        <v>2.0570802802903119</v>
      </c>
      <c r="H28" s="278"/>
      <c r="I28" s="272">
        <v>101</v>
      </c>
      <c r="J28" s="267">
        <v>0</v>
      </c>
      <c r="K28" s="269">
        <v>2.29</v>
      </c>
      <c r="L28" s="272">
        <f>SUM(L23:L27)</f>
        <v>1</v>
      </c>
      <c r="M28" s="366"/>
    </row>
    <row r="29" spans="2:13" ht="15.75" thickBot="1">
      <c r="B29" s="279"/>
      <c r="C29" s="365"/>
      <c r="D29" s="280"/>
      <c r="E29" s="367" t="s">
        <v>213</v>
      </c>
      <c r="F29" s="367"/>
      <c r="G29" s="367"/>
      <c r="H29" s="281"/>
      <c r="I29" s="367"/>
      <c r="J29" s="367"/>
      <c r="K29" s="367"/>
      <c r="L29" s="281"/>
      <c r="M29" s="282"/>
    </row>
    <row r="30" spans="2:13" ht="62.25" customHeight="1">
      <c r="C30" s="357"/>
      <c r="D30" s="358"/>
      <c r="E30" s="358"/>
      <c r="F30" s="358"/>
      <c r="G30" s="358"/>
      <c r="H30" s="358"/>
      <c r="I30" s="358"/>
      <c r="J30" s="358"/>
      <c r="K30" s="358"/>
      <c r="L30" s="358"/>
      <c r="M30" s="358"/>
    </row>
    <row r="31" spans="2:13" ht="86.25" customHeight="1"/>
  </sheetData>
  <mergeCells count="34">
    <mergeCell ref="C30:M30"/>
    <mergeCell ref="C14:C20"/>
    <mergeCell ref="M14:M19"/>
    <mergeCell ref="E20:G20"/>
    <mergeCell ref="I20:K20"/>
    <mergeCell ref="L21:L22"/>
    <mergeCell ref="M21:M22"/>
    <mergeCell ref="C23:C29"/>
    <mergeCell ref="M23:M28"/>
    <mergeCell ref="E29:G29"/>
    <mergeCell ref="I29:K29"/>
    <mergeCell ref="B21:B22"/>
    <mergeCell ref="C21:C22"/>
    <mergeCell ref="D21:D22"/>
    <mergeCell ref="E21:G21"/>
    <mergeCell ref="I21:K21"/>
    <mergeCell ref="C6:C11"/>
    <mergeCell ref="M6:M11"/>
    <mergeCell ref="B12:B13"/>
    <mergeCell ref="C12:C13"/>
    <mergeCell ref="D12:D13"/>
    <mergeCell ref="E12:G12"/>
    <mergeCell ref="I12:K12"/>
    <mergeCell ref="L12:L13"/>
    <mergeCell ref="M12:M13"/>
    <mergeCell ref="B1:M1"/>
    <mergeCell ref="B3:M3"/>
    <mergeCell ref="B4:B5"/>
    <mergeCell ref="C4:C5"/>
    <mergeCell ref="D4:D5"/>
    <mergeCell ref="E4:G4"/>
    <mergeCell ref="I4:K4"/>
    <mergeCell ref="L4:L5"/>
    <mergeCell ref="M4:M5"/>
  </mergeCells>
  <pageMargins left="0.7" right="0.7" top="0.75" bottom="0.75" header="0.3" footer="0.3"/>
  <pageSetup scale="72" orientation="portrait" horizontalDpi="0" verticalDpi="0" r:id="rId1"/>
</worksheet>
</file>

<file path=xl/worksheets/sheet2.xml><?xml version="1.0" encoding="utf-8"?>
<worksheet xmlns="http://schemas.openxmlformats.org/spreadsheetml/2006/main" xmlns:r="http://schemas.openxmlformats.org/officeDocument/2006/relationships">
  <sheetPr>
    <tabColor rgb="FFFFFF00"/>
  </sheetPr>
  <dimension ref="A2:L40"/>
  <sheetViews>
    <sheetView view="pageBreakPreview" topLeftCell="A13" zoomScale="60" zoomScaleNormal="70" workbookViewId="0">
      <selection activeCell="E24" sqref="E24"/>
    </sheetView>
  </sheetViews>
  <sheetFormatPr defaultRowHeight="12.75"/>
  <cols>
    <col min="1" max="1" width="8" customWidth="1"/>
    <col min="2" max="2" width="62.7109375" customWidth="1"/>
    <col min="3" max="3" width="22" customWidth="1"/>
    <col min="4" max="4" width="18.28515625" customWidth="1"/>
    <col min="5" max="5" width="24.42578125" customWidth="1"/>
    <col min="6" max="6" width="20.42578125" customWidth="1"/>
    <col min="7" max="7" width="20.85546875" customWidth="1"/>
    <col min="8" max="9" width="21.85546875" bestFit="1" customWidth="1"/>
    <col min="11" max="11" width="15.28515625" bestFit="1" customWidth="1"/>
    <col min="12" max="12" width="21.85546875" bestFit="1" customWidth="1"/>
  </cols>
  <sheetData>
    <row r="2" spans="1:11" ht="33">
      <c r="I2" s="6" t="s">
        <v>81</v>
      </c>
    </row>
    <row r="5" spans="1:11" ht="34.5">
      <c r="A5" s="311" t="s">
        <v>0</v>
      </c>
      <c r="B5" s="311"/>
      <c r="C5" s="311"/>
      <c r="D5" s="311"/>
      <c r="E5" s="311"/>
      <c r="F5" s="311"/>
      <c r="G5" s="311"/>
      <c r="H5" s="311"/>
      <c r="I5" s="311"/>
    </row>
    <row r="6" spans="1:11" ht="18" customHeight="1">
      <c r="A6" s="1"/>
      <c r="B6" s="1"/>
      <c r="C6" s="1"/>
      <c r="D6" s="1"/>
      <c r="E6" s="1"/>
    </row>
    <row r="8" spans="1:11" ht="30">
      <c r="A8" s="301" t="s">
        <v>80</v>
      </c>
      <c r="B8" s="301"/>
      <c r="C8" s="301"/>
      <c r="D8" s="301"/>
      <c r="E8" s="301"/>
      <c r="F8" s="301"/>
      <c r="G8" s="301"/>
      <c r="H8" s="301"/>
      <c r="I8" s="301"/>
    </row>
    <row r="10" spans="1:11" ht="30">
      <c r="A10" s="301" t="s">
        <v>79</v>
      </c>
      <c r="B10" s="301"/>
      <c r="C10" s="301"/>
      <c r="D10" s="301"/>
      <c r="E10" s="301"/>
      <c r="F10" s="301"/>
      <c r="G10" s="301"/>
      <c r="H10" s="301"/>
      <c r="I10" s="301"/>
    </row>
    <row r="11" spans="1:11" ht="13.5" thickBot="1"/>
    <row r="12" spans="1:11" ht="24" customHeight="1">
      <c r="A12" s="9"/>
      <c r="B12" s="10"/>
      <c r="C12" s="10"/>
      <c r="D12" s="309" t="s">
        <v>137</v>
      </c>
      <c r="E12" s="309"/>
      <c r="F12" s="309" t="s">
        <v>67</v>
      </c>
      <c r="G12" s="309"/>
      <c r="H12" s="312" t="s">
        <v>16</v>
      </c>
      <c r="I12" s="308"/>
      <c r="J12" s="13"/>
      <c r="K12" s="13"/>
    </row>
    <row r="13" spans="1:11" ht="24" customHeight="1">
      <c r="A13" s="11"/>
      <c r="B13" s="8"/>
      <c r="C13" s="8"/>
      <c r="D13" s="115" t="s">
        <v>14</v>
      </c>
      <c r="E13" s="116" t="s">
        <v>15</v>
      </c>
      <c r="F13" s="2" t="s">
        <v>14</v>
      </c>
      <c r="G13" s="2" t="s">
        <v>15</v>
      </c>
      <c r="H13" s="310" t="s">
        <v>14</v>
      </c>
      <c r="I13" s="313" t="s">
        <v>15</v>
      </c>
      <c r="J13" s="13"/>
      <c r="K13" s="13"/>
    </row>
    <row r="14" spans="1:11" ht="33" customHeight="1">
      <c r="A14" s="11"/>
      <c r="B14" s="8"/>
      <c r="C14" s="8"/>
      <c r="D14" s="306" t="str">
        <f>+'SHEET-1'!D14:E14</f>
        <v>Jan-2019 to Mar-2019(Provisinal)</v>
      </c>
      <c r="E14" s="306"/>
      <c r="F14" s="306" t="str">
        <f>+'SHEET-1'!F14:G14</f>
        <v>Jan-2018 to Mar-2018</v>
      </c>
      <c r="G14" s="306"/>
      <c r="H14" s="310"/>
      <c r="I14" s="313"/>
      <c r="J14" s="13"/>
      <c r="K14" s="13"/>
    </row>
    <row r="15" spans="1:11" ht="24" customHeight="1">
      <c r="A15" s="11" t="s">
        <v>64</v>
      </c>
      <c r="B15" s="8" t="s">
        <v>77</v>
      </c>
      <c r="C15" s="8"/>
      <c r="D15" s="113" t="s">
        <v>135</v>
      </c>
      <c r="E15" s="73"/>
      <c r="F15" s="73"/>
      <c r="G15" s="73"/>
      <c r="H15" s="8"/>
      <c r="I15" s="39"/>
      <c r="J15" s="13"/>
      <c r="K15" s="13"/>
    </row>
    <row r="16" spans="1:11" ht="24" customHeight="1">
      <c r="A16" s="11">
        <v>1</v>
      </c>
      <c r="B16" s="12" t="s">
        <v>125</v>
      </c>
      <c r="C16" s="8" t="s">
        <v>78</v>
      </c>
      <c r="D16" s="76">
        <f>ROUND((+'SHEET-3'!D16/'SHEET-1'!D25)*10,2)</f>
        <v>4.46</v>
      </c>
      <c r="E16" s="76">
        <f>ROUND((+'SHEET-3'!E16/'SHEET-1'!E25)*10,2)</f>
        <v>4.42</v>
      </c>
      <c r="F16" s="76">
        <f>ROUND((+'SHEET-3'!F16/'SHEET-1'!F25)*10,2)</f>
        <v>4.33</v>
      </c>
      <c r="G16" s="76">
        <f>ROUND((+'SHEET-3'!G16/'SHEET-1'!G25)*10,2)</f>
        <v>4.2699999999999996</v>
      </c>
      <c r="H16" s="75">
        <f>(D16-F16)/F16</f>
        <v>3.0023094688221685E-2</v>
      </c>
      <c r="I16" s="133">
        <f>(E16-G16)/G16</f>
        <v>3.5128805620608987E-2</v>
      </c>
      <c r="J16" s="13"/>
      <c r="K16" s="13"/>
    </row>
    <row r="17" spans="1:12" ht="24" customHeight="1">
      <c r="A17" s="11">
        <v>2</v>
      </c>
      <c r="B17" s="12" t="s">
        <v>70</v>
      </c>
      <c r="C17" s="8" t="s">
        <v>78</v>
      </c>
      <c r="D17" s="76"/>
      <c r="E17" s="76"/>
      <c r="F17" s="76"/>
      <c r="G17" s="76"/>
      <c r="H17" s="74"/>
      <c r="I17" s="149"/>
      <c r="J17" s="13"/>
      <c r="K17" s="13"/>
    </row>
    <row r="18" spans="1:12" ht="24" customHeight="1">
      <c r="A18" s="11">
        <v>3</v>
      </c>
      <c r="B18" s="12" t="s">
        <v>134</v>
      </c>
      <c r="C18" s="8" t="s">
        <v>78</v>
      </c>
      <c r="D18" s="76"/>
      <c r="E18" s="76"/>
      <c r="F18" s="76"/>
      <c r="G18" s="76"/>
      <c r="H18" s="74"/>
      <c r="I18" s="149"/>
      <c r="J18" s="13"/>
      <c r="K18" s="13"/>
    </row>
    <row r="19" spans="1:12" ht="24" customHeight="1">
      <c r="A19" s="11">
        <v>4</v>
      </c>
      <c r="B19" s="12" t="s">
        <v>71</v>
      </c>
      <c r="C19" s="8" t="s">
        <v>78</v>
      </c>
      <c r="D19" s="76"/>
      <c r="E19" s="76"/>
      <c r="F19" s="76"/>
      <c r="G19" s="76"/>
      <c r="H19" s="74"/>
      <c r="I19" s="149"/>
      <c r="J19" s="13"/>
      <c r="K19" s="13"/>
    </row>
    <row r="20" spans="1:12" ht="24" customHeight="1">
      <c r="A20" s="11">
        <v>5</v>
      </c>
      <c r="B20" s="12" t="s">
        <v>72</v>
      </c>
      <c r="C20" s="8" t="s">
        <v>78</v>
      </c>
      <c r="D20" s="76"/>
      <c r="E20" s="76"/>
      <c r="F20" s="76"/>
      <c r="G20" s="76"/>
      <c r="H20" s="74"/>
      <c r="I20" s="149"/>
      <c r="J20" s="13"/>
      <c r="K20" s="13"/>
    </row>
    <row r="21" spans="1:12" ht="28.5" customHeight="1">
      <c r="A21" s="11">
        <v>6</v>
      </c>
      <c r="B21" s="12" t="s">
        <v>73</v>
      </c>
      <c r="C21" s="8" t="s">
        <v>78</v>
      </c>
      <c r="D21" s="76">
        <f>ROUND((+'SHEET-3'!D24/'SHEET-1'!D27)*10,2)</f>
        <v>6.23</v>
      </c>
      <c r="E21" s="76">
        <f>ROUND((+'SHEET-3'!E24/'SHEET-1'!E27)*10,2)</f>
        <v>6.1</v>
      </c>
      <c r="F21" s="76">
        <f>ROUND((+'SHEET-3'!F24/'SHEET-1'!F27)*10,2)</f>
        <v>6.11</v>
      </c>
      <c r="G21" s="76">
        <f>ROUND((+'SHEET-3'!G24/'SHEET-1'!G27)*10,2)</f>
        <v>6.01</v>
      </c>
      <c r="H21" s="75">
        <f>(D21-F21)/F21</f>
        <v>1.9639934533551572E-2</v>
      </c>
      <c r="I21" s="133">
        <f>(E21-G21)/G21</f>
        <v>1.4975041597337747E-2</v>
      </c>
      <c r="J21" s="13"/>
      <c r="K21" s="13"/>
    </row>
    <row r="22" spans="1:12" ht="24" customHeight="1">
      <c r="A22" s="11"/>
      <c r="B22" s="8"/>
      <c r="C22" s="8"/>
      <c r="D22" s="76"/>
      <c r="E22" s="76"/>
      <c r="F22" s="76"/>
      <c r="G22" s="76"/>
      <c r="H22" s="74"/>
      <c r="I22" s="149"/>
      <c r="J22" s="13"/>
      <c r="K22" s="13"/>
    </row>
    <row r="23" spans="1:12" ht="24" customHeight="1">
      <c r="A23" s="11" t="s">
        <v>65</v>
      </c>
      <c r="B23" s="8" t="s">
        <v>107</v>
      </c>
      <c r="C23" s="8"/>
      <c r="D23" s="76"/>
      <c r="E23" s="76"/>
      <c r="F23" s="76"/>
      <c r="G23" s="76"/>
      <c r="H23" s="150"/>
      <c r="I23" s="149"/>
      <c r="J23" s="13"/>
      <c r="K23" s="13"/>
    </row>
    <row r="24" spans="1:12" ht="24" customHeight="1">
      <c r="A24" s="11">
        <v>1</v>
      </c>
      <c r="B24" s="12" t="s">
        <v>4</v>
      </c>
      <c r="C24" s="8" t="s">
        <v>78</v>
      </c>
      <c r="D24" s="76">
        <f>+'SHEET-5'!D32/100</f>
        <v>6.5342013648924491</v>
      </c>
      <c r="E24" s="76">
        <f>+'SHEET-5'!E32/100</f>
        <v>6.6546885889551524</v>
      </c>
      <c r="F24" s="76">
        <f>+'SHEET-5'!F32/100</f>
        <v>6.365043936377714</v>
      </c>
      <c r="G24" s="76">
        <f>+'SHEET-5'!G32/100</f>
        <v>6.621501938717099</v>
      </c>
      <c r="H24" s="75">
        <f>(D24-F24)/F24</f>
        <v>2.657600327752033E-2</v>
      </c>
      <c r="I24" s="133">
        <f t="shared" ref="I24:I26" si="0">(E24-G24)/G24</f>
        <v>5.0119520533559152E-3</v>
      </c>
      <c r="J24" s="13"/>
      <c r="K24" s="28"/>
      <c r="L24" s="27"/>
    </row>
    <row r="25" spans="1:12" ht="24" customHeight="1">
      <c r="A25" s="11">
        <v>2</v>
      </c>
      <c r="B25" s="12" t="s">
        <v>74</v>
      </c>
      <c r="C25" s="8" t="s">
        <v>78</v>
      </c>
      <c r="D25" s="76">
        <f>+'SHEET-5'!D39/100</f>
        <v>4.9881786243012112</v>
      </c>
      <c r="E25" s="76">
        <f>+'SHEET-5'!E39/100</f>
        <v>5.2292954254225403</v>
      </c>
      <c r="F25" s="76">
        <f>+'SHEET-5'!F39/100</f>
        <v>4.7502758423801916</v>
      </c>
      <c r="G25" s="76">
        <f>+'SHEET-5'!G39/100</f>
        <v>5.0776441225882447</v>
      </c>
      <c r="H25" s="75">
        <f>(D25-F25)/F25</f>
        <v>5.0081887834499954E-2</v>
      </c>
      <c r="I25" s="133">
        <f t="shared" si="0"/>
        <v>2.9866469404514685E-2</v>
      </c>
      <c r="J25" s="13"/>
      <c r="K25" s="28"/>
      <c r="L25" s="27"/>
    </row>
    <row r="26" spans="1:12" ht="24" customHeight="1">
      <c r="A26" s="25">
        <v>3</v>
      </c>
      <c r="B26" s="26" t="s">
        <v>75</v>
      </c>
      <c r="C26" s="8" t="s">
        <v>78</v>
      </c>
      <c r="D26" s="143">
        <f>+'SHEET-5'!D40/100</f>
        <v>5.6460365488582545</v>
      </c>
      <c r="E26" s="155">
        <f>+'SHEET-5'!E40/100</f>
        <v>5.8102000462618024</v>
      </c>
      <c r="F26" s="155">
        <f>+'SHEET-5'!F40/100</f>
        <v>5.4514220854342668</v>
      </c>
      <c r="G26" s="155">
        <f>+'SHEET-5'!G40/100</f>
        <v>5.6937133990959872</v>
      </c>
      <c r="H26" s="75">
        <f>(D26-F26)/F26</f>
        <v>3.5699760608150465E-2</v>
      </c>
      <c r="I26" s="133">
        <f t="shared" si="0"/>
        <v>2.0458818173796786E-2</v>
      </c>
      <c r="J26" s="13"/>
      <c r="K26" s="28"/>
      <c r="L26" s="27"/>
    </row>
    <row r="27" spans="1:12" ht="24" customHeight="1">
      <c r="A27" s="25"/>
      <c r="B27" s="26"/>
      <c r="C27" s="22"/>
      <c r="D27" s="143"/>
      <c r="E27" s="143"/>
      <c r="F27" s="120"/>
      <c r="G27" s="120"/>
      <c r="H27" s="124"/>
      <c r="I27" s="125"/>
      <c r="J27" s="13"/>
      <c r="K27" s="13"/>
    </row>
    <row r="28" spans="1:12" ht="24" customHeight="1" thickBot="1">
      <c r="A28" s="14"/>
      <c r="B28" s="15" t="s">
        <v>76</v>
      </c>
      <c r="C28" s="23"/>
      <c r="D28" s="82"/>
      <c r="E28" s="82"/>
      <c r="F28" s="82"/>
      <c r="G28" s="82"/>
      <c r="H28" s="126"/>
      <c r="I28" s="127"/>
      <c r="J28" s="13"/>
      <c r="K28" s="13"/>
    </row>
    <row r="29" spans="1:12">
      <c r="A29" s="13"/>
      <c r="B29" s="13"/>
      <c r="C29" s="13"/>
      <c r="D29" s="121"/>
      <c r="E29" s="121"/>
      <c r="F29" s="121"/>
      <c r="G29" s="121"/>
      <c r="H29" s="121"/>
      <c r="I29" s="121"/>
      <c r="J29" s="13"/>
      <c r="K29" s="13"/>
    </row>
    <row r="30" spans="1:12" ht="15.75">
      <c r="F30" s="48"/>
      <c r="G30" s="48"/>
      <c r="H30" s="48"/>
    </row>
    <row r="35" spans="1:8" ht="12.75" customHeight="1">
      <c r="A35" s="292" t="s">
        <v>138</v>
      </c>
      <c r="B35" s="292"/>
    </row>
    <row r="37" spans="1:8">
      <c r="D37" s="40"/>
      <c r="E37" s="40"/>
      <c r="F37" s="40"/>
      <c r="G37" s="40"/>
      <c r="H37" s="105"/>
    </row>
    <row r="38" spans="1:8">
      <c r="D38" s="40"/>
      <c r="E38" s="40"/>
    </row>
    <row r="39" spans="1:8">
      <c r="D39" s="40"/>
      <c r="E39" s="40"/>
    </row>
    <row r="40" spans="1:8">
      <c r="D40" s="40"/>
      <c r="E40" s="40"/>
    </row>
  </sheetData>
  <mergeCells count="11">
    <mergeCell ref="A5:I5"/>
    <mergeCell ref="A35:B35"/>
    <mergeCell ref="H12:I12"/>
    <mergeCell ref="H13:H14"/>
    <mergeCell ref="I13:I14"/>
    <mergeCell ref="D14:E14"/>
    <mergeCell ref="D12:E12"/>
    <mergeCell ref="F12:G12"/>
    <mergeCell ref="F14:G14"/>
    <mergeCell ref="A10:I10"/>
    <mergeCell ref="A8:I8"/>
  </mergeCells>
  <phoneticPr fontId="1" type="noConversion"/>
  <printOptions horizontalCentered="1" verticalCentered="1"/>
  <pageMargins left="0.5" right="0.25" top="1.25" bottom="0.25" header="0.5" footer="0.5"/>
  <pageSetup paperSize="9" scale="60"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rgb="FFFFFF00"/>
  </sheetPr>
  <dimension ref="A2:M63"/>
  <sheetViews>
    <sheetView view="pageBreakPreview" topLeftCell="A13" zoomScale="60" zoomScaleNormal="70" workbookViewId="0">
      <selection activeCell="I27" sqref="I27"/>
    </sheetView>
  </sheetViews>
  <sheetFormatPr defaultRowHeight="12.75"/>
  <cols>
    <col min="1" max="1" width="8" customWidth="1"/>
    <col min="2" max="2" width="76.42578125" customWidth="1"/>
    <col min="3" max="3" width="22" customWidth="1"/>
    <col min="4" max="4" width="25" customWidth="1"/>
    <col min="5" max="5" width="23.5703125" customWidth="1"/>
    <col min="6" max="6" width="24.42578125" customWidth="1"/>
    <col min="7" max="7" width="23.5703125" customWidth="1"/>
    <col min="8" max="8" width="19.5703125" customWidth="1"/>
    <col min="9" max="9" width="21.28515625" customWidth="1"/>
    <col min="10" max="10" width="14.7109375" bestFit="1" customWidth="1"/>
    <col min="11" max="11" width="21.140625" bestFit="1" customWidth="1"/>
    <col min="12" max="13" width="15.85546875" bestFit="1" customWidth="1"/>
  </cols>
  <sheetData>
    <row r="2" spans="1:10" ht="30">
      <c r="I2" s="5" t="s">
        <v>44</v>
      </c>
    </row>
    <row r="5" spans="1:10" ht="30">
      <c r="A5" s="314" t="s">
        <v>0</v>
      </c>
      <c r="B5" s="314"/>
      <c r="C5" s="314"/>
      <c r="D5" s="314"/>
      <c r="E5" s="314"/>
      <c r="F5" s="314"/>
      <c r="G5" s="314"/>
      <c r="H5" s="314"/>
      <c r="I5" s="314"/>
    </row>
    <row r="6" spans="1:10" ht="18" customHeight="1">
      <c r="A6" s="1"/>
      <c r="B6" s="1"/>
      <c r="C6" s="1"/>
      <c r="D6" s="1"/>
      <c r="E6" s="1"/>
    </row>
    <row r="8" spans="1:10" ht="27.75">
      <c r="A8" s="315" t="s">
        <v>43</v>
      </c>
      <c r="B8" s="315"/>
      <c r="C8" s="315"/>
      <c r="D8" s="315"/>
      <c r="E8" s="315"/>
      <c r="F8" s="315"/>
      <c r="G8" s="315"/>
      <c r="H8" s="315"/>
      <c r="I8" s="315"/>
    </row>
    <row r="10" spans="1:10" ht="27.75">
      <c r="A10" s="315" t="s">
        <v>42</v>
      </c>
      <c r="B10" s="315"/>
      <c r="C10" s="315"/>
      <c r="D10" s="315"/>
      <c r="E10" s="315"/>
      <c r="F10" s="315"/>
      <c r="G10" s="315"/>
      <c r="H10" s="315"/>
      <c r="I10" s="315"/>
    </row>
    <row r="11" spans="1:10" ht="13.5" thickBot="1"/>
    <row r="12" spans="1:10" ht="21.6" customHeight="1">
      <c r="A12" s="9"/>
      <c r="B12" s="10"/>
      <c r="C12" s="10"/>
      <c r="D12" s="309" t="s">
        <v>137</v>
      </c>
      <c r="E12" s="309"/>
      <c r="F12" s="309" t="s">
        <v>67</v>
      </c>
      <c r="G12" s="309"/>
      <c r="H12" s="307" t="s">
        <v>16</v>
      </c>
      <c r="I12" s="308"/>
    </row>
    <row r="13" spans="1:10" ht="21.6" customHeight="1">
      <c r="A13" s="98"/>
      <c r="B13" s="95"/>
      <c r="C13" s="95"/>
      <c r="D13" s="117"/>
      <c r="E13" s="117"/>
      <c r="F13" s="99"/>
      <c r="G13" s="99"/>
      <c r="H13" s="95"/>
      <c r="I13" s="100"/>
    </row>
    <row r="14" spans="1:10" ht="21.6" customHeight="1">
      <c r="A14" s="11"/>
      <c r="B14" s="8"/>
      <c r="C14" s="8"/>
      <c r="D14" s="115" t="s">
        <v>14</v>
      </c>
      <c r="E14" s="116" t="s">
        <v>15</v>
      </c>
      <c r="F14" s="2" t="s">
        <v>14</v>
      </c>
      <c r="G14" s="2" t="s">
        <v>15</v>
      </c>
      <c r="H14" s="310" t="s">
        <v>14</v>
      </c>
      <c r="I14" s="302" t="s">
        <v>15</v>
      </c>
    </row>
    <row r="15" spans="1:10" ht="33" customHeight="1">
      <c r="A15" s="11"/>
      <c r="B15" s="8"/>
      <c r="C15" s="8"/>
      <c r="D15" s="306" t="str">
        <f>+'SHEET-2'!D14:E14</f>
        <v>Jan-2019 to Mar-2019(Provisinal)</v>
      </c>
      <c r="E15" s="306"/>
      <c r="F15" s="306" t="str">
        <f>+'SHEET-2'!F14:G14</f>
        <v>Jan-2018 to Mar-2018</v>
      </c>
      <c r="G15" s="306"/>
      <c r="H15" s="295"/>
      <c r="I15" s="302"/>
    </row>
    <row r="16" spans="1:10" ht="24" customHeight="1">
      <c r="A16" s="11">
        <v>1</v>
      </c>
      <c r="B16" s="12" t="s">
        <v>127</v>
      </c>
      <c r="C16" s="8" t="s">
        <v>13</v>
      </c>
      <c r="D16" s="76">
        <f>E16-4034.65</f>
        <v>1256.8499999999999</v>
      </c>
      <c r="E16" s="76">
        <v>5291.5</v>
      </c>
      <c r="F16" s="76">
        <v>1175.52</v>
      </c>
      <c r="G16" s="153">
        <v>4709.83</v>
      </c>
      <c r="H16" s="75">
        <f>(D16-F16)/F16</f>
        <v>6.9186402613311493E-2</v>
      </c>
      <c r="I16" s="151">
        <f t="shared" ref="I16:I18" si="0">(E16-G16)/G16</f>
        <v>0.12350127286972143</v>
      </c>
      <c r="J16" s="108"/>
    </row>
    <row r="17" spans="1:13" ht="24" customHeight="1">
      <c r="A17" s="11">
        <v>2</v>
      </c>
      <c r="B17" s="12" t="s">
        <v>25</v>
      </c>
      <c r="C17" s="8" t="s">
        <v>13</v>
      </c>
      <c r="D17" s="76">
        <f>E17-346.84-10</f>
        <v>118.96000000000004</v>
      </c>
      <c r="E17" s="76">
        <f>+'SHEET-7'!C24</f>
        <v>475.8</v>
      </c>
      <c r="F17" s="76">
        <v>117.43</v>
      </c>
      <c r="G17" s="153">
        <f>+'SHEET-7'!D24</f>
        <v>469.72985038699994</v>
      </c>
      <c r="H17" s="75">
        <f t="shared" ref="H17:I31" si="1">(D17-F17)/F17</f>
        <v>1.3029038576173289E-2</v>
      </c>
      <c r="I17" s="151">
        <f t="shared" si="0"/>
        <v>1.2922639700242615E-2</v>
      </c>
      <c r="J17" s="108"/>
    </row>
    <row r="18" spans="1:13" ht="24" customHeight="1">
      <c r="A18" s="11">
        <v>3</v>
      </c>
      <c r="B18" s="12" t="s">
        <v>26</v>
      </c>
      <c r="C18" s="8" t="s">
        <v>13</v>
      </c>
      <c r="D18" s="76">
        <f>E18-45.41</f>
        <v>16.340000000000003</v>
      </c>
      <c r="E18" s="76">
        <f>+'SHEET-7'!C30</f>
        <v>61.75</v>
      </c>
      <c r="F18" s="76">
        <f>15.14+1</f>
        <v>16.14</v>
      </c>
      <c r="G18" s="153">
        <f>+'SHEET-7'!D30</f>
        <v>60.553187375999997</v>
      </c>
      <c r="H18" s="75">
        <f t="shared" si="1"/>
        <v>1.2391573729863868E-2</v>
      </c>
      <c r="I18" s="151">
        <f t="shared" si="0"/>
        <v>1.9764651141623551E-2</v>
      </c>
      <c r="J18" s="108">
        <f>+G18/4</f>
        <v>15.138296843999999</v>
      </c>
    </row>
    <row r="19" spans="1:13" ht="24" customHeight="1">
      <c r="A19" s="11">
        <v>4</v>
      </c>
      <c r="B19" s="12" t="s">
        <v>27</v>
      </c>
      <c r="C19" s="8" t="s">
        <v>13</v>
      </c>
      <c r="D19" s="76">
        <f>E19-44.25</f>
        <v>10.689999999999998</v>
      </c>
      <c r="E19" s="76">
        <f>+'SHEET-7'!C25</f>
        <v>54.94</v>
      </c>
      <c r="F19" s="76">
        <f>12.75-1.5</f>
        <v>11.25</v>
      </c>
      <c r="G19" s="153">
        <f>+'SHEET-7'!D25</f>
        <v>58.997689104000003</v>
      </c>
      <c r="H19" s="75">
        <f t="shared" si="1"/>
        <v>-4.9777777777777983E-2</v>
      </c>
      <c r="I19" s="151">
        <f>(E19-G19)/G19</f>
        <v>-6.8777085435451343E-2</v>
      </c>
      <c r="J19" s="108">
        <f t="shared" ref="J19:J27" si="2">+G19/4</f>
        <v>14.749422276000001</v>
      </c>
      <c r="L19" s="66"/>
      <c r="M19" s="66"/>
    </row>
    <row r="20" spans="1:13" ht="24" customHeight="1">
      <c r="A20" s="11">
        <v>5</v>
      </c>
      <c r="B20" s="12" t="s">
        <v>28</v>
      </c>
      <c r="C20" s="8" t="s">
        <v>13</v>
      </c>
      <c r="D20" s="76">
        <f>E20-196.51</f>
        <v>65.970000000000027</v>
      </c>
      <c r="E20" s="76">
        <f>+'SHEET-7'!C29</f>
        <v>262.48</v>
      </c>
      <c r="F20" s="76">
        <v>60.37</v>
      </c>
      <c r="G20" s="153">
        <f>+'SHEET-7'!D29</f>
        <v>241.477766315</v>
      </c>
      <c r="H20" s="75">
        <f t="shared" si="1"/>
        <v>9.2761305284081996E-2</v>
      </c>
      <c r="I20" s="151">
        <f>(E20-G20)/G20</f>
        <v>8.6973778188768239E-2</v>
      </c>
      <c r="J20" s="108">
        <f t="shared" si="2"/>
        <v>60.369441578749999</v>
      </c>
      <c r="L20" s="67"/>
      <c r="M20" s="67"/>
    </row>
    <row r="21" spans="1:13" ht="24" customHeight="1">
      <c r="A21" s="11">
        <v>6</v>
      </c>
      <c r="B21" s="12" t="s">
        <v>29</v>
      </c>
      <c r="C21" s="8" t="s">
        <v>13</v>
      </c>
      <c r="D21" s="76">
        <f>E21-56.06</f>
        <v>21.409999999999997</v>
      </c>
      <c r="E21" s="76">
        <f>+'SHEET-7'!C26</f>
        <v>77.47</v>
      </c>
      <c r="F21" s="76">
        <f>19.62+1</f>
        <v>20.62</v>
      </c>
      <c r="G21" s="153">
        <f>+'SHEET-7'!D26</f>
        <v>74.487372289000007</v>
      </c>
      <c r="H21" s="75">
        <f t="shared" si="1"/>
        <v>3.8312318137730145E-2</v>
      </c>
      <c r="I21" s="151">
        <f>(E21-G21)/G21</f>
        <v>4.0042058396527094E-2</v>
      </c>
      <c r="J21" s="108">
        <f t="shared" si="2"/>
        <v>18.621843072250002</v>
      </c>
      <c r="L21" s="67"/>
      <c r="M21" s="67"/>
    </row>
    <row r="22" spans="1:13" ht="24" customHeight="1">
      <c r="A22" s="11" t="s">
        <v>117</v>
      </c>
      <c r="B22" s="12" t="s">
        <v>118</v>
      </c>
      <c r="C22" s="8" t="s">
        <v>13</v>
      </c>
      <c r="D22" s="76">
        <f>E22-(-35.58)</f>
        <v>-20.300000000000004</v>
      </c>
      <c r="E22" s="76">
        <f>+'SHEET-7'!C33</f>
        <v>-55.88</v>
      </c>
      <c r="F22" s="76">
        <v>-16.86</v>
      </c>
      <c r="G22" s="153">
        <f>+'SHEET-7'!D33</f>
        <v>-47.436268229</v>
      </c>
      <c r="H22" s="75">
        <f t="shared" ref="H22:H23" si="3">(D22-F22)/F22</f>
        <v>0.20403321470937158</v>
      </c>
      <c r="I22" s="151">
        <f t="shared" ref="I22:I23" si="4">(E22-G22)/G22</f>
        <v>0.17800160270275975</v>
      </c>
      <c r="J22" s="108">
        <f t="shared" si="2"/>
        <v>-11.85906705725</v>
      </c>
      <c r="L22" s="67"/>
      <c r="M22" s="67"/>
    </row>
    <row r="23" spans="1:13" ht="24" customHeight="1">
      <c r="A23" s="11">
        <v>7</v>
      </c>
      <c r="B23" s="12" t="s">
        <v>146</v>
      </c>
      <c r="C23" s="8" t="s">
        <v>13</v>
      </c>
      <c r="D23" s="76">
        <f>E23-6</f>
        <v>2.1999999999999993</v>
      </c>
      <c r="E23" s="76">
        <f>+'SHEET-7'!C27</f>
        <v>8.1999999999999993</v>
      </c>
      <c r="F23" s="76">
        <v>2.1800000000000002</v>
      </c>
      <c r="G23" s="153">
        <f>+'SHEET-7'!D27</f>
        <v>8.204501059</v>
      </c>
      <c r="H23" s="75">
        <f t="shared" si="3"/>
        <v>9.1743119266051044E-3</v>
      </c>
      <c r="I23" s="151">
        <f t="shared" si="4"/>
        <v>-5.4860849765669473E-4</v>
      </c>
      <c r="J23" s="108">
        <f t="shared" si="2"/>
        <v>2.05112526475</v>
      </c>
      <c r="L23" s="67"/>
      <c r="M23" s="67"/>
    </row>
    <row r="24" spans="1:13" ht="24" customHeight="1">
      <c r="A24" s="11">
        <v>8</v>
      </c>
      <c r="B24" s="12" t="s">
        <v>30</v>
      </c>
      <c r="C24" s="8" t="s">
        <v>13</v>
      </c>
      <c r="D24" s="76">
        <f>+SUM(D16:D23)</f>
        <v>1472.1200000000001</v>
      </c>
      <c r="E24" s="76">
        <f>+SUM(E16:E23)</f>
        <v>6176.2599999999993</v>
      </c>
      <c r="F24" s="76">
        <f>+SUM(F16:F23)</f>
        <v>1386.65</v>
      </c>
      <c r="G24" s="153">
        <f>+SUM(G16:G23)</f>
        <v>5575.8440983009987</v>
      </c>
      <c r="H24" s="75">
        <f t="shared" si="1"/>
        <v>6.163776006923162E-2</v>
      </c>
      <c r="I24" s="151">
        <f t="shared" si="1"/>
        <v>0.10768161575427689</v>
      </c>
      <c r="J24" s="108">
        <f t="shared" si="2"/>
        <v>1393.9610245752497</v>
      </c>
    </row>
    <row r="25" spans="1:13" ht="24" customHeight="1">
      <c r="A25" s="11">
        <v>9</v>
      </c>
      <c r="B25" s="12" t="s">
        <v>31</v>
      </c>
      <c r="C25" s="8" t="s">
        <v>13</v>
      </c>
      <c r="D25" s="153">
        <f>+E25-284.38</f>
        <v>123.61720000000003</v>
      </c>
      <c r="E25" s="153">
        <v>407.99720000000002</v>
      </c>
      <c r="F25" s="153">
        <f>+G25-173.71-40</f>
        <v>108.22</v>
      </c>
      <c r="G25" s="153">
        <v>321.93</v>
      </c>
      <c r="H25" s="75">
        <f t="shared" si="1"/>
        <v>0.14227684346701189</v>
      </c>
      <c r="I25" s="151">
        <f t="shared" si="1"/>
        <v>0.26734756002857768</v>
      </c>
      <c r="J25" s="108">
        <f t="shared" si="2"/>
        <v>80.482500000000002</v>
      </c>
    </row>
    <row r="26" spans="1:13" ht="24" customHeight="1">
      <c r="A26" s="11">
        <v>10</v>
      </c>
      <c r="B26" s="111" t="s">
        <v>32</v>
      </c>
      <c r="C26" s="8" t="s">
        <v>13</v>
      </c>
      <c r="D26" s="153">
        <f>+E26-0</f>
        <v>317</v>
      </c>
      <c r="E26" s="153">
        <v>317</v>
      </c>
      <c r="F26" s="153">
        <v>0</v>
      </c>
      <c r="G26" s="153">
        <v>0</v>
      </c>
      <c r="H26" s="75"/>
      <c r="I26" s="151"/>
      <c r="J26" s="108">
        <f t="shared" si="2"/>
        <v>0</v>
      </c>
    </row>
    <row r="27" spans="1:13" ht="24" customHeight="1">
      <c r="A27" s="11">
        <v>11</v>
      </c>
      <c r="B27" s="12" t="s">
        <v>88</v>
      </c>
      <c r="C27" s="8" t="s">
        <v>13</v>
      </c>
      <c r="D27" s="153">
        <f>E27-100.38</f>
        <v>39.02000000000001</v>
      </c>
      <c r="E27" s="153">
        <f>+'SHEET-7'!C15</f>
        <v>139.4</v>
      </c>
      <c r="F27" s="153">
        <v>36.450000000000003</v>
      </c>
      <c r="G27" s="153">
        <f>+'SHEET-7'!D15</f>
        <v>133.82546424899999</v>
      </c>
      <c r="H27" s="75">
        <f t="shared" si="1"/>
        <v>7.0507544581618856E-2</v>
      </c>
      <c r="I27" s="151">
        <f t="shared" si="1"/>
        <v>4.1655269288869055E-2</v>
      </c>
      <c r="J27" s="108">
        <f t="shared" si="2"/>
        <v>33.456366062249998</v>
      </c>
    </row>
    <row r="28" spans="1:13" ht="24" customHeight="1">
      <c r="A28" s="11">
        <v>12</v>
      </c>
      <c r="B28" s="104" t="s">
        <v>140</v>
      </c>
      <c r="C28" s="8" t="s">
        <v>13</v>
      </c>
      <c r="D28" s="153">
        <f>+E28-0.06</f>
        <v>0</v>
      </c>
      <c r="E28" s="153">
        <f>0.02+0.02+0.02</f>
        <v>0.06</v>
      </c>
      <c r="F28" s="153">
        <f>+G28-0.04</f>
        <v>1.9999999999999997E-2</v>
      </c>
      <c r="G28" s="153">
        <f>0.02+0.02+0.02</f>
        <v>0.06</v>
      </c>
      <c r="H28" s="156">
        <f t="shared" ref="H28" si="5">(D28-F28)/F28</f>
        <v>-1</v>
      </c>
      <c r="I28" s="157">
        <f t="shared" ref="I28" si="6">(E28-G28)/G28</f>
        <v>0</v>
      </c>
      <c r="J28">
        <v>391109773.76999998</v>
      </c>
    </row>
    <row r="29" spans="1:13" ht="24" customHeight="1">
      <c r="A29" s="11">
        <v>13</v>
      </c>
      <c r="B29" s="12" t="s">
        <v>108</v>
      </c>
      <c r="C29" s="8" t="s">
        <v>13</v>
      </c>
      <c r="D29" s="76">
        <f>+E29-4500.97</f>
        <v>1384.3599999999997</v>
      </c>
      <c r="E29" s="76">
        <f>+'SHEET-5'!E25</f>
        <v>5885.33</v>
      </c>
      <c r="F29" s="76">
        <v>1321.06</v>
      </c>
      <c r="G29" s="76">
        <f>+'SHEET-5'!G25</f>
        <v>5284.25</v>
      </c>
      <c r="H29" s="75">
        <f t="shared" si="1"/>
        <v>4.7916067400420669E-2</v>
      </c>
      <c r="I29" s="133">
        <f t="shared" si="1"/>
        <v>0.11374934948195106</v>
      </c>
      <c r="J29">
        <v>20132231.73</v>
      </c>
      <c r="K29" s="171">
        <f>+G29/4</f>
        <v>1321.0625</v>
      </c>
    </row>
    <row r="30" spans="1:13" ht="24" customHeight="1">
      <c r="A30" s="11">
        <v>14</v>
      </c>
      <c r="B30" s="12" t="s">
        <v>33</v>
      </c>
      <c r="C30" s="8" t="s">
        <v>13</v>
      </c>
      <c r="D30" s="76">
        <f>+E30-55.6</f>
        <v>18.21</v>
      </c>
      <c r="E30" s="76">
        <f>+'SHEET-7'!C14</f>
        <v>73.81</v>
      </c>
      <c r="F30" s="76">
        <v>18.46</v>
      </c>
      <c r="G30" s="76">
        <f>+'SHEET-7'!D14</f>
        <v>73.806939999999997</v>
      </c>
      <c r="H30" s="75">
        <f t="shared" si="1"/>
        <v>-1.3542795232936078E-2</v>
      </c>
      <c r="I30" s="133">
        <f t="shared" si="1"/>
        <v>4.1459515866732148E-5</v>
      </c>
      <c r="J30">
        <f>+(J28+J29)/10^7</f>
        <v>41.124200549999998</v>
      </c>
      <c r="K30">
        <f>+G30/4</f>
        <v>18.451734999999999</v>
      </c>
    </row>
    <row r="31" spans="1:13" ht="24" customHeight="1">
      <c r="A31" s="11">
        <v>15</v>
      </c>
      <c r="B31" s="12" t="s">
        <v>119</v>
      </c>
      <c r="C31" s="8" t="s">
        <v>13</v>
      </c>
      <c r="D31" s="76">
        <f>E31-117.41+6</f>
        <v>37.430000000000007</v>
      </c>
      <c r="E31" s="76">
        <f>+'SHEET-7'!C13</f>
        <v>148.84</v>
      </c>
      <c r="F31" s="76">
        <v>45.08</v>
      </c>
      <c r="G31" s="76">
        <f>+'SHEET-7'!D13</f>
        <v>180.31363762199999</v>
      </c>
      <c r="H31" s="75">
        <f t="shared" si="1"/>
        <v>-0.16969831410825181</v>
      </c>
      <c r="I31" s="133">
        <f t="shared" si="1"/>
        <v>-0.17454940201461444</v>
      </c>
      <c r="K31">
        <f>+G31/4</f>
        <v>45.078409405499997</v>
      </c>
    </row>
    <row r="32" spans="1:13" ht="24" customHeight="1">
      <c r="A32" s="11">
        <v>16</v>
      </c>
      <c r="B32" s="12" t="s">
        <v>34</v>
      </c>
      <c r="C32" s="8"/>
      <c r="D32" s="76"/>
      <c r="E32" s="76"/>
      <c r="F32" s="76"/>
      <c r="G32" s="76"/>
      <c r="H32" s="74"/>
      <c r="I32" s="152"/>
    </row>
    <row r="33" spans="1:9" ht="24" customHeight="1">
      <c r="A33" s="11">
        <v>17</v>
      </c>
      <c r="B33" s="12" t="s">
        <v>120</v>
      </c>
      <c r="C33" s="8" t="s">
        <v>13</v>
      </c>
      <c r="D33" s="75">
        <f t="shared" ref="D33:G33" si="7">D16/D24</f>
        <v>0.85376871450696945</v>
      </c>
      <c r="E33" s="75">
        <f t="shared" si="7"/>
        <v>0.85674825865491422</v>
      </c>
      <c r="F33" s="75">
        <f t="shared" si="7"/>
        <v>0.84774095842498098</v>
      </c>
      <c r="G33" s="75">
        <f t="shared" si="7"/>
        <v>0.84468466423498467</v>
      </c>
      <c r="H33" s="75">
        <f>D33-F33</f>
        <v>6.0277560819884668E-3</v>
      </c>
      <c r="I33" s="75">
        <f>E33-G33</f>
        <v>1.2063594419929546E-2</v>
      </c>
    </row>
    <row r="34" spans="1:9" ht="24" customHeight="1" thickBot="1">
      <c r="A34" s="14"/>
      <c r="B34" s="15"/>
      <c r="C34" s="23"/>
      <c r="D34" s="23"/>
      <c r="E34" s="23"/>
      <c r="F34" s="71"/>
      <c r="G34" s="71"/>
      <c r="H34" s="23"/>
      <c r="I34" s="24"/>
    </row>
    <row r="38" spans="1:9" ht="12.75" customHeight="1">
      <c r="A38" s="292" t="s">
        <v>138</v>
      </c>
      <c r="B38" s="292"/>
    </row>
    <row r="53" spans="4:5" ht="23.25">
      <c r="D53" s="70"/>
      <c r="E53" s="70"/>
    </row>
    <row r="54" spans="4:5" ht="23.25">
      <c r="D54" s="63"/>
      <c r="E54" s="63"/>
    </row>
    <row r="55" spans="4:5" ht="23.25">
      <c r="D55" s="63"/>
      <c r="E55" s="63"/>
    </row>
    <row r="56" spans="4:5" ht="23.25">
      <c r="D56" s="63"/>
      <c r="E56" s="63"/>
    </row>
    <row r="57" spans="4:5" ht="23.25">
      <c r="D57" s="63"/>
      <c r="E57" s="63"/>
    </row>
    <row r="58" spans="4:5" ht="23.25">
      <c r="D58" s="63"/>
      <c r="E58" s="63"/>
    </row>
    <row r="59" spans="4:5" ht="23.25">
      <c r="D59" s="63"/>
      <c r="E59" s="63"/>
    </row>
    <row r="60" spans="4:5" ht="23.25">
      <c r="D60" s="63"/>
      <c r="E60" s="63"/>
    </row>
    <row r="62" spans="4:5" ht="23.25">
      <c r="D62" s="63"/>
    </row>
    <row r="63" spans="4:5" ht="23.25">
      <c r="D63" s="63"/>
    </row>
  </sheetData>
  <mergeCells count="11">
    <mergeCell ref="F15:G15"/>
    <mergeCell ref="A5:I5"/>
    <mergeCell ref="A8:I8"/>
    <mergeCell ref="A10:I10"/>
    <mergeCell ref="A38:B38"/>
    <mergeCell ref="H12:I12"/>
    <mergeCell ref="H14:H15"/>
    <mergeCell ref="I14:I15"/>
    <mergeCell ref="D15:E15"/>
    <mergeCell ref="D12:E12"/>
    <mergeCell ref="F12:G12"/>
  </mergeCells>
  <phoneticPr fontId="1" type="noConversion"/>
  <printOptions horizontalCentered="1" verticalCentered="1"/>
  <pageMargins left="0.25" right="0.25" top="1" bottom="0.25" header="0.5" footer="0.5"/>
  <pageSetup paperSize="9" scale="59" orientation="landscape" r:id="rId1"/>
  <headerFooter alignWithMargins="0"/>
</worksheet>
</file>

<file path=xl/worksheets/sheet4.xml><?xml version="1.0" encoding="utf-8"?>
<worksheet xmlns="http://schemas.openxmlformats.org/spreadsheetml/2006/main" xmlns:r="http://schemas.openxmlformats.org/officeDocument/2006/relationships">
  <sheetPr>
    <tabColor rgb="FFFFC000"/>
  </sheetPr>
  <dimension ref="A2:N77"/>
  <sheetViews>
    <sheetView view="pageBreakPreview" topLeftCell="A22" zoomScale="60" zoomScaleNormal="60" workbookViewId="0">
      <selection activeCell="F29" sqref="F29"/>
    </sheetView>
  </sheetViews>
  <sheetFormatPr defaultRowHeight="12.75"/>
  <cols>
    <col min="1" max="1" width="8" customWidth="1"/>
    <col min="2" max="2" width="77.5703125" customWidth="1"/>
    <col min="3" max="3" width="17" customWidth="1"/>
    <col min="4" max="4" width="24.42578125" customWidth="1"/>
    <col min="5" max="5" width="25.5703125" customWidth="1"/>
    <col min="6" max="6" width="23.85546875" customWidth="1"/>
    <col min="7" max="7" width="25.85546875" customWidth="1"/>
    <col min="8" max="8" width="19.42578125" customWidth="1"/>
    <col min="9" max="9" width="20.42578125" customWidth="1"/>
    <col min="10" max="10" width="17.28515625" bestFit="1" customWidth="1"/>
    <col min="13" max="13" width="15.85546875" bestFit="1" customWidth="1"/>
    <col min="14" max="14" width="24.7109375" bestFit="1" customWidth="1"/>
  </cols>
  <sheetData>
    <row r="2" spans="1:14" ht="33">
      <c r="I2" s="4" t="s">
        <v>132</v>
      </c>
    </row>
    <row r="5" spans="1:14" ht="30">
      <c r="A5" s="314" t="s">
        <v>0</v>
      </c>
      <c r="B5" s="314"/>
      <c r="C5" s="314"/>
      <c r="D5" s="314"/>
      <c r="E5" s="314"/>
      <c r="F5" s="314"/>
      <c r="G5" s="314"/>
      <c r="H5" s="314"/>
      <c r="I5" s="314"/>
      <c r="J5" s="40"/>
    </row>
    <row r="6" spans="1:14">
      <c r="A6" s="40"/>
      <c r="B6" s="40"/>
      <c r="C6" s="40"/>
      <c r="D6" s="40"/>
      <c r="E6" s="40"/>
      <c r="F6" s="40"/>
      <c r="G6" s="40"/>
      <c r="H6" s="40"/>
      <c r="I6" s="40"/>
      <c r="J6" s="40"/>
    </row>
    <row r="7" spans="1:14" ht="27.75">
      <c r="A7" s="315" t="s">
        <v>19</v>
      </c>
      <c r="B7" s="315"/>
      <c r="C7" s="315"/>
      <c r="D7" s="315"/>
      <c r="E7" s="315"/>
      <c r="F7" s="315"/>
      <c r="G7" s="315"/>
      <c r="H7" s="315"/>
      <c r="I7" s="315"/>
      <c r="J7" s="40"/>
    </row>
    <row r="8" spans="1:14">
      <c r="A8" s="40"/>
      <c r="B8" s="40"/>
      <c r="C8" s="40"/>
      <c r="D8" s="40"/>
      <c r="E8" s="40"/>
      <c r="F8" s="40"/>
      <c r="G8" s="40"/>
      <c r="H8" s="40"/>
      <c r="I8" s="40"/>
      <c r="J8" s="40"/>
    </row>
    <row r="9" spans="1:14" ht="27.75">
      <c r="A9" s="315" t="s">
        <v>24</v>
      </c>
      <c r="B9" s="315"/>
      <c r="C9" s="315"/>
      <c r="D9" s="315"/>
      <c r="E9" s="315"/>
      <c r="F9" s="315"/>
      <c r="G9" s="315"/>
      <c r="H9" s="315"/>
      <c r="I9" s="315"/>
      <c r="J9" s="40"/>
    </row>
    <row r="10" spans="1:14" ht="13.5" thickBot="1">
      <c r="A10" s="40"/>
      <c r="B10" s="40"/>
      <c r="C10" s="40"/>
      <c r="D10" s="40"/>
      <c r="E10" s="40"/>
      <c r="F10" s="40"/>
      <c r="G10" s="40"/>
      <c r="H10" s="40"/>
      <c r="I10" s="40"/>
      <c r="J10" s="40"/>
    </row>
    <row r="11" spans="1:14" ht="21.6" customHeight="1">
      <c r="A11" s="50"/>
      <c r="B11" s="49"/>
      <c r="C11" s="49"/>
      <c r="D11" s="309" t="s">
        <v>137</v>
      </c>
      <c r="E11" s="309"/>
      <c r="F11" s="309" t="s">
        <v>67</v>
      </c>
      <c r="G11" s="309"/>
      <c r="H11" s="309" t="s">
        <v>16</v>
      </c>
      <c r="I11" s="323"/>
      <c r="J11" s="40"/>
      <c r="K11" s="40"/>
      <c r="L11" s="40"/>
      <c r="M11" s="40"/>
      <c r="N11" s="40"/>
    </row>
    <row r="12" spans="1:14" ht="21.6" customHeight="1">
      <c r="A12" s="51"/>
      <c r="B12" s="2"/>
      <c r="C12" s="2"/>
      <c r="D12" s="115" t="s">
        <v>14</v>
      </c>
      <c r="E12" s="116" t="s">
        <v>15</v>
      </c>
      <c r="F12" s="2" t="s">
        <v>14</v>
      </c>
      <c r="G12" s="2" t="s">
        <v>15</v>
      </c>
      <c r="H12" s="324" t="s">
        <v>14</v>
      </c>
      <c r="I12" s="325" t="s">
        <v>15</v>
      </c>
      <c r="J12" s="40"/>
      <c r="K12" s="40"/>
      <c r="L12" s="40"/>
      <c r="M12" s="40"/>
      <c r="N12" s="40"/>
    </row>
    <row r="13" spans="1:14" ht="21.6" customHeight="1">
      <c r="A13" s="51" t="s">
        <v>39</v>
      </c>
      <c r="B13" s="2" t="s">
        <v>102</v>
      </c>
      <c r="C13" s="2"/>
      <c r="D13" s="306" t="str">
        <f>+'SHEET-3'!D15:E15</f>
        <v>Jan-2019 to Mar-2019(Provisinal)</v>
      </c>
      <c r="E13" s="306"/>
      <c r="F13" s="306" t="str">
        <f>+'SHEET-3'!F15:G15</f>
        <v>Jan-2018 to Mar-2018</v>
      </c>
      <c r="G13" s="306"/>
      <c r="H13" s="324"/>
      <c r="I13" s="325"/>
      <c r="J13" s="40"/>
      <c r="K13" s="40"/>
      <c r="L13" s="40"/>
      <c r="M13" s="40"/>
      <c r="N13" s="40"/>
    </row>
    <row r="14" spans="1:14" ht="21.6" customHeight="1">
      <c r="A14" s="52">
        <v>1</v>
      </c>
      <c r="B14" s="53" t="s">
        <v>4</v>
      </c>
      <c r="C14" s="30" t="s">
        <v>82</v>
      </c>
      <c r="D14" s="172">
        <v>2138</v>
      </c>
      <c r="E14" s="172">
        <f>D14</f>
        <v>2138</v>
      </c>
      <c r="F14" s="79">
        <v>2067</v>
      </c>
      <c r="G14" s="79">
        <v>2067</v>
      </c>
      <c r="H14" s="75">
        <f>(D14-F14)/F14</f>
        <v>3.4349298500241897E-2</v>
      </c>
      <c r="I14" s="133">
        <f>(E14-G14)/G14</f>
        <v>3.4349298500241897E-2</v>
      </c>
      <c r="J14" s="40"/>
      <c r="K14" s="40"/>
      <c r="L14" s="40"/>
      <c r="M14" s="40"/>
      <c r="N14" s="40"/>
    </row>
    <row r="15" spans="1:14" ht="21.6" customHeight="1">
      <c r="A15" s="52">
        <v>2</v>
      </c>
      <c r="B15" s="53" t="s">
        <v>103</v>
      </c>
      <c r="C15" s="30" t="s">
        <v>82</v>
      </c>
      <c r="D15" s="172">
        <v>0</v>
      </c>
      <c r="E15" s="172">
        <v>0</v>
      </c>
      <c r="F15" s="79">
        <v>0</v>
      </c>
      <c r="G15" s="79">
        <v>0</v>
      </c>
      <c r="H15" s="75">
        <v>0</v>
      </c>
      <c r="I15" s="133">
        <v>0</v>
      </c>
      <c r="J15" s="40"/>
      <c r="K15" s="40"/>
      <c r="L15" s="40"/>
      <c r="M15" s="40"/>
      <c r="N15" s="40"/>
    </row>
    <row r="16" spans="1:14" ht="21.6" customHeight="1">
      <c r="A16" s="52">
        <v>3</v>
      </c>
      <c r="B16" s="53" t="s">
        <v>7</v>
      </c>
      <c r="C16" s="30" t="s">
        <v>82</v>
      </c>
      <c r="D16" s="172">
        <v>0</v>
      </c>
      <c r="E16" s="172">
        <v>0</v>
      </c>
      <c r="F16" s="79">
        <v>0</v>
      </c>
      <c r="G16" s="79">
        <v>0</v>
      </c>
      <c r="H16" s="75">
        <v>0</v>
      </c>
      <c r="I16" s="133">
        <v>0</v>
      </c>
      <c r="J16" s="40"/>
      <c r="K16" s="40"/>
      <c r="L16" s="40"/>
      <c r="M16" s="40"/>
      <c r="N16" s="40"/>
    </row>
    <row r="17" spans="1:14" ht="24" customHeight="1">
      <c r="A17" s="52">
        <v>4</v>
      </c>
      <c r="B17" s="53" t="s">
        <v>8</v>
      </c>
      <c r="C17" s="30" t="s">
        <v>82</v>
      </c>
      <c r="D17" s="172">
        <f>SUM(D14:D16)</f>
        <v>2138</v>
      </c>
      <c r="E17" s="172">
        <f>D17</f>
        <v>2138</v>
      </c>
      <c r="F17" s="79">
        <f>SUM(F14:F16)</f>
        <v>2067</v>
      </c>
      <c r="G17" s="79">
        <f>SUM(G14:G16)</f>
        <v>2067</v>
      </c>
      <c r="H17" s="75">
        <f t="shared" ref="H17:I25" si="0">(D17-F17)/F17</f>
        <v>3.4349298500241897E-2</v>
      </c>
      <c r="I17" s="133">
        <f t="shared" si="0"/>
        <v>3.4349298500241897E-2</v>
      </c>
      <c r="J17" s="40"/>
      <c r="K17" s="40"/>
      <c r="L17" s="40"/>
      <c r="M17" s="40"/>
      <c r="N17" s="40"/>
    </row>
    <row r="18" spans="1:14" ht="21.6" customHeight="1">
      <c r="A18" s="52">
        <v>5</v>
      </c>
      <c r="B18" s="53" t="s">
        <v>2</v>
      </c>
      <c r="C18" s="30" t="s">
        <v>82</v>
      </c>
      <c r="D18" s="172">
        <v>2630978</v>
      </c>
      <c r="E18" s="172">
        <f>D18</f>
        <v>2630978</v>
      </c>
      <c r="F18" s="79">
        <v>2558658</v>
      </c>
      <c r="G18" s="79">
        <v>2558658</v>
      </c>
      <c r="H18" s="75">
        <f t="shared" si="0"/>
        <v>2.8264816947008938E-2</v>
      </c>
      <c r="I18" s="133">
        <f t="shared" si="0"/>
        <v>2.8264816947008938E-2</v>
      </c>
      <c r="J18" s="40"/>
      <c r="K18" s="40"/>
      <c r="L18" s="40"/>
      <c r="M18" s="40"/>
      <c r="N18" s="40"/>
    </row>
    <row r="19" spans="1:14" ht="21.6" customHeight="1">
      <c r="A19" s="52">
        <v>6</v>
      </c>
      <c r="B19" s="53" t="s">
        <v>3</v>
      </c>
      <c r="C19" s="30" t="s">
        <v>82</v>
      </c>
      <c r="D19" s="319">
        <f>24554+317951</f>
        <v>342505</v>
      </c>
      <c r="E19" s="319">
        <f>D19</f>
        <v>342505</v>
      </c>
      <c r="F19" s="297">
        <v>327495</v>
      </c>
      <c r="G19" s="297">
        <v>327495</v>
      </c>
      <c r="H19" s="283">
        <f>(D19-F19)/F19</f>
        <v>4.583276080550848E-2</v>
      </c>
      <c r="I19" s="286">
        <f t="shared" si="0"/>
        <v>4.583276080550848E-2</v>
      </c>
      <c r="J19" s="40"/>
      <c r="K19" s="40"/>
      <c r="L19" s="40"/>
      <c r="M19" s="66"/>
      <c r="N19" s="63"/>
    </row>
    <row r="20" spans="1:14" ht="21.6" customHeight="1">
      <c r="A20" s="52">
        <v>7</v>
      </c>
      <c r="B20" s="53" t="s">
        <v>1</v>
      </c>
      <c r="C20" s="30" t="s">
        <v>82</v>
      </c>
      <c r="D20" s="320"/>
      <c r="E20" s="320"/>
      <c r="F20" s="299"/>
      <c r="G20" s="299"/>
      <c r="H20" s="284"/>
      <c r="I20" s="287"/>
      <c r="J20" s="40"/>
      <c r="K20" s="40"/>
      <c r="L20" s="40"/>
      <c r="M20" s="66"/>
      <c r="N20" s="63"/>
    </row>
    <row r="21" spans="1:14" ht="21.6" customHeight="1">
      <c r="A21" s="52">
        <v>8</v>
      </c>
      <c r="B21" s="101" t="s">
        <v>121</v>
      </c>
      <c r="C21" s="30" t="s">
        <v>82</v>
      </c>
      <c r="D21" s="172">
        <f>22228+8206+63</f>
        <v>30497</v>
      </c>
      <c r="E21" s="172">
        <f>D21</f>
        <v>30497</v>
      </c>
      <c r="F21" s="79">
        <v>28199</v>
      </c>
      <c r="G21" s="79">
        <f>F21</f>
        <v>28199</v>
      </c>
      <c r="H21" s="75">
        <f>(D21-F21)/F21</f>
        <v>8.1492251498280086E-2</v>
      </c>
      <c r="I21" s="133">
        <f t="shared" si="0"/>
        <v>8.1492251498280086E-2</v>
      </c>
      <c r="J21" s="40"/>
      <c r="K21" s="40"/>
      <c r="L21" s="40"/>
      <c r="M21" s="66"/>
      <c r="N21" s="63"/>
    </row>
    <row r="22" spans="1:14" ht="24" customHeight="1">
      <c r="A22" s="52">
        <v>9</v>
      </c>
      <c r="B22" s="53" t="s">
        <v>10</v>
      </c>
      <c r="C22" s="30" t="s">
        <v>82</v>
      </c>
      <c r="D22" s="172">
        <f>SUM(D18:D21)</f>
        <v>3003980</v>
      </c>
      <c r="E22" s="172">
        <f>SUM(E18:E21)</f>
        <v>3003980</v>
      </c>
      <c r="F22" s="79">
        <v>2914352</v>
      </c>
      <c r="G22" s="79">
        <f>SUM(G18:G21)</f>
        <v>2914352</v>
      </c>
      <c r="H22" s="75">
        <f t="shared" ref="H22:H25" si="1">(D22-F22)/F22</f>
        <v>3.0754006379462743E-2</v>
      </c>
      <c r="I22" s="133">
        <f t="shared" si="0"/>
        <v>3.0754006379462743E-2</v>
      </c>
      <c r="J22" s="40"/>
      <c r="K22" s="40"/>
      <c r="L22" s="40"/>
      <c r="M22" s="40"/>
      <c r="N22" s="40"/>
    </row>
    <row r="23" spans="1:14" ht="21.6" customHeight="1">
      <c r="A23" s="52">
        <v>10</v>
      </c>
      <c r="B23" s="53" t="s">
        <v>5</v>
      </c>
      <c r="C23" s="30" t="s">
        <v>82</v>
      </c>
      <c r="D23" s="172">
        <f>165792+9</f>
        <v>165801</v>
      </c>
      <c r="E23" s="172">
        <f>D23</f>
        <v>165801</v>
      </c>
      <c r="F23" s="79">
        <v>153653</v>
      </c>
      <c r="G23" s="79">
        <f>F23</f>
        <v>153653</v>
      </c>
      <c r="H23" s="75">
        <f t="shared" si="1"/>
        <v>7.9061261413704911E-2</v>
      </c>
      <c r="I23" s="133">
        <f t="shared" si="0"/>
        <v>7.9061261413704911E-2</v>
      </c>
      <c r="J23" s="40"/>
      <c r="K23" s="40"/>
      <c r="L23" s="40"/>
      <c r="M23" s="66"/>
      <c r="N23" s="63"/>
    </row>
    <row r="24" spans="1:14" ht="24" customHeight="1">
      <c r="A24" s="52">
        <v>11</v>
      </c>
      <c r="B24" s="53" t="s">
        <v>11</v>
      </c>
      <c r="C24" s="30" t="s">
        <v>82</v>
      </c>
      <c r="D24" s="172">
        <f>SUM(D22:D23)</f>
        <v>3169781</v>
      </c>
      <c r="E24" s="172">
        <f>SUM(E22:E23)</f>
        <v>3169781</v>
      </c>
      <c r="F24" s="79">
        <f>SUM(F22:F23)</f>
        <v>3068005</v>
      </c>
      <c r="G24" s="79">
        <f>SUM(G22:G23)</f>
        <v>3068005</v>
      </c>
      <c r="H24" s="75">
        <f t="shared" si="1"/>
        <v>3.3173348804842233E-2</v>
      </c>
      <c r="I24" s="133">
        <f t="shared" si="0"/>
        <v>3.3173348804842233E-2</v>
      </c>
      <c r="J24" s="40"/>
      <c r="K24" s="40"/>
      <c r="L24" s="40"/>
      <c r="M24" s="66"/>
      <c r="N24" s="63"/>
    </row>
    <row r="25" spans="1:14" ht="31.5" customHeight="1" thickBot="1">
      <c r="A25" s="54">
        <v>12</v>
      </c>
      <c r="B25" s="55" t="s">
        <v>105</v>
      </c>
      <c r="C25" s="31" t="s">
        <v>82</v>
      </c>
      <c r="D25" s="174">
        <f>D17+D24</f>
        <v>3171919</v>
      </c>
      <c r="E25" s="174">
        <f>E17+E24</f>
        <v>3171919</v>
      </c>
      <c r="F25" s="80">
        <f>F17+F24</f>
        <v>3070072</v>
      </c>
      <c r="G25" s="80">
        <f>G17+G24</f>
        <v>3070072</v>
      </c>
      <c r="H25" s="134">
        <f t="shared" si="1"/>
        <v>3.3174140541329326E-2</v>
      </c>
      <c r="I25" s="135">
        <f t="shared" si="0"/>
        <v>3.3174140541329326E-2</v>
      </c>
      <c r="J25" s="40"/>
      <c r="K25" s="40"/>
      <c r="L25" s="40"/>
      <c r="M25" s="66"/>
      <c r="N25" s="63"/>
    </row>
    <row r="26" spans="1:14" ht="12" customHeight="1">
      <c r="A26" s="41"/>
      <c r="B26" s="42"/>
      <c r="C26" s="43"/>
      <c r="D26" s="81"/>
      <c r="E26" s="81"/>
      <c r="F26" s="81"/>
      <c r="G26" s="81"/>
      <c r="H26" s="45"/>
      <c r="I26" s="46"/>
      <c r="J26" s="40"/>
      <c r="K26" s="40"/>
      <c r="L26" s="40"/>
      <c r="M26" s="40"/>
      <c r="N26" s="40"/>
    </row>
    <row r="27" spans="1:14" ht="28.5" customHeight="1">
      <c r="A27" s="29" t="s">
        <v>6</v>
      </c>
      <c r="B27" s="47" t="s">
        <v>45</v>
      </c>
      <c r="C27" s="43"/>
      <c r="D27" s="96"/>
      <c r="E27" s="81"/>
      <c r="F27" s="96"/>
      <c r="G27" s="81"/>
      <c r="H27" s="45"/>
      <c r="I27" s="46"/>
      <c r="J27" s="40"/>
      <c r="K27" s="40"/>
      <c r="L27" s="40"/>
      <c r="M27" s="40"/>
      <c r="N27" s="40"/>
    </row>
    <row r="28" spans="1:14" ht="12" customHeight="1" thickBot="1">
      <c r="A28" s="41"/>
      <c r="B28" s="42"/>
      <c r="C28" s="43"/>
      <c r="D28" s="81"/>
      <c r="E28" s="81"/>
      <c r="F28" s="81"/>
      <c r="G28" s="81"/>
      <c r="H28" s="45"/>
      <c r="I28" s="46"/>
      <c r="J28" s="40"/>
      <c r="K28" s="40"/>
      <c r="L28" s="40"/>
      <c r="M28" s="40"/>
      <c r="N28" s="40"/>
    </row>
    <row r="29" spans="1:14" ht="21.6" customHeight="1" thickBot="1">
      <c r="A29" s="56">
        <v>1</v>
      </c>
      <c r="B29" s="57" t="s">
        <v>4</v>
      </c>
      <c r="C29" s="58" t="s">
        <v>23</v>
      </c>
      <c r="D29" s="144">
        <f>E29-3122.45</f>
        <v>1005.6469999999999</v>
      </c>
      <c r="E29" s="144">
        <v>4128.0969999999998</v>
      </c>
      <c r="F29" s="162">
        <f>1094.62-100</f>
        <v>994.61999999999989</v>
      </c>
      <c r="G29" s="162">
        <v>3703.48</v>
      </c>
      <c r="H29" s="141">
        <f>(D29-F29)/F29</f>
        <v>1.1086646156321052E-2</v>
      </c>
      <c r="I29" s="142">
        <f>(E29-G29)/G29</f>
        <v>0.11465351507231029</v>
      </c>
      <c r="J29" s="114"/>
      <c r="K29" s="97"/>
      <c r="L29" s="40"/>
      <c r="M29" s="40"/>
      <c r="N29" s="40"/>
    </row>
    <row r="30" spans="1:14" ht="21.6" customHeight="1" thickBot="1">
      <c r="A30" s="52">
        <v>2</v>
      </c>
      <c r="B30" s="53" t="s">
        <v>103</v>
      </c>
      <c r="C30" s="30" t="s">
        <v>23</v>
      </c>
      <c r="D30" s="144">
        <f>E30-0</f>
        <v>0</v>
      </c>
      <c r="E30" s="144">
        <v>0</v>
      </c>
      <c r="F30" s="162">
        <f>G30-0</f>
        <v>0</v>
      </c>
      <c r="G30" s="162">
        <v>0</v>
      </c>
      <c r="H30" s="158" t="e">
        <f>(D30-F30)/F30</f>
        <v>#DIV/0!</v>
      </c>
      <c r="I30" s="159" t="e">
        <f t="shared" ref="I30:I40" si="2">(E30-G30)/G30</f>
        <v>#DIV/0!</v>
      </c>
      <c r="J30" s="114"/>
      <c r="K30" s="97"/>
      <c r="L30" s="40"/>
      <c r="M30" s="40"/>
      <c r="N30" s="40"/>
    </row>
    <row r="31" spans="1:14" ht="21.6" customHeight="1">
      <c r="A31" s="52">
        <v>3</v>
      </c>
      <c r="B31" s="53" t="s">
        <v>7</v>
      </c>
      <c r="C31" s="30" t="s">
        <v>23</v>
      </c>
      <c r="D31" s="144">
        <v>0</v>
      </c>
      <c r="E31" s="144">
        <v>0</v>
      </c>
      <c r="F31" s="162">
        <v>0</v>
      </c>
      <c r="G31" s="162">
        <v>0</v>
      </c>
      <c r="H31" s="75">
        <v>0</v>
      </c>
      <c r="I31" s="133">
        <v>0</v>
      </c>
      <c r="J31" s="114"/>
      <c r="K31" s="97"/>
      <c r="L31" s="40"/>
      <c r="M31" s="40"/>
      <c r="N31" s="40"/>
    </row>
    <row r="32" spans="1:14" ht="24" customHeight="1" thickBot="1">
      <c r="A32" s="52">
        <v>4</v>
      </c>
      <c r="B32" s="53" t="s">
        <v>8</v>
      </c>
      <c r="C32" s="30" t="s">
        <v>23</v>
      </c>
      <c r="D32" s="76">
        <f t="shared" ref="D32" si="3">SUM(D29:D31)</f>
        <v>1005.6469999999999</v>
      </c>
      <c r="E32" s="76">
        <f t="shared" ref="E32" si="4">SUM(E29:E31)</f>
        <v>4128.0969999999998</v>
      </c>
      <c r="F32" s="76">
        <f t="shared" ref="F32" si="5">SUM(F29:F31)</f>
        <v>994.61999999999989</v>
      </c>
      <c r="G32" s="76">
        <f t="shared" ref="G32" si="6">SUM(G29:G31)</f>
        <v>3703.48</v>
      </c>
      <c r="H32" s="75">
        <f>(D32-F32)/F32</f>
        <v>1.1086646156321052E-2</v>
      </c>
      <c r="I32" s="133">
        <f t="shared" si="2"/>
        <v>0.11465351507231029</v>
      </c>
      <c r="J32" s="97"/>
      <c r="K32" s="97"/>
      <c r="L32" s="40"/>
      <c r="M32" s="66"/>
      <c r="N32" s="63"/>
    </row>
    <row r="33" spans="1:14" ht="21.6" customHeight="1" thickBot="1">
      <c r="A33" s="52">
        <v>5</v>
      </c>
      <c r="B33" s="53" t="s">
        <v>2</v>
      </c>
      <c r="C33" s="30" t="s">
        <v>23</v>
      </c>
      <c r="D33" s="144">
        <f>E33-2142.33</f>
        <v>514.80700000000024</v>
      </c>
      <c r="E33" s="144">
        <v>2657.1370000000002</v>
      </c>
      <c r="F33" s="162">
        <v>488.28</v>
      </c>
      <c r="G33" s="162">
        <v>2475.48</v>
      </c>
      <c r="H33" s="75">
        <f>(D33-F33)/F33</f>
        <v>5.4327435078234357E-2</v>
      </c>
      <c r="I33" s="133">
        <f t="shared" si="2"/>
        <v>7.3382535912227181E-2</v>
      </c>
      <c r="J33" s="114"/>
      <c r="K33" s="97"/>
      <c r="L33" s="40"/>
      <c r="M33" s="66"/>
      <c r="N33" s="63"/>
    </row>
    <row r="34" spans="1:14" ht="21.6" customHeight="1">
      <c r="A34" s="52">
        <v>6</v>
      </c>
      <c r="B34" s="53" t="s">
        <v>3</v>
      </c>
      <c r="C34" s="30" t="s">
        <v>23</v>
      </c>
      <c r="D34" s="316">
        <f>+E34-1281.9</f>
        <v>340.26299999999992</v>
      </c>
      <c r="E34" s="316">
        <v>1622.163</v>
      </c>
      <c r="F34" s="316">
        <v>322.61</v>
      </c>
      <c r="G34" s="316">
        <v>1525.07</v>
      </c>
      <c r="H34" s="317">
        <f>(D34-F34)/F34</f>
        <v>5.4719320541830402E-2</v>
      </c>
      <c r="I34" s="286">
        <f t="shared" si="2"/>
        <v>6.3664618673241274E-2</v>
      </c>
      <c r="J34" s="321"/>
      <c r="K34" s="322"/>
      <c r="L34" s="40"/>
      <c r="M34" s="66"/>
      <c r="N34" s="63"/>
    </row>
    <row r="35" spans="1:14" ht="21.6" customHeight="1" thickBot="1">
      <c r="A35" s="52">
        <v>7</v>
      </c>
      <c r="B35" s="53" t="s">
        <v>1</v>
      </c>
      <c r="C35" s="30" t="s">
        <v>23</v>
      </c>
      <c r="D35" s="291"/>
      <c r="E35" s="291"/>
      <c r="F35" s="291"/>
      <c r="G35" s="291"/>
      <c r="H35" s="318"/>
      <c r="I35" s="287"/>
      <c r="J35" s="321"/>
      <c r="K35" s="322"/>
      <c r="L35" s="40"/>
      <c r="M35" s="40"/>
      <c r="N35" s="40"/>
    </row>
    <row r="36" spans="1:14" ht="21.6" customHeight="1">
      <c r="A36" s="52">
        <v>8</v>
      </c>
      <c r="B36" s="53" t="s">
        <v>121</v>
      </c>
      <c r="C36" s="30" t="s">
        <v>23</v>
      </c>
      <c r="D36" s="144">
        <f>E36-285.39</f>
        <v>73.581999999999994</v>
      </c>
      <c r="E36" s="144">
        <v>358.97199999999998</v>
      </c>
      <c r="F36" s="162">
        <f>50.24+20</f>
        <v>70.240000000000009</v>
      </c>
      <c r="G36" s="162">
        <v>348.29</v>
      </c>
      <c r="H36" s="75">
        <f>(D36-F36)/F36</f>
        <v>4.7579726651480414E-2</v>
      </c>
      <c r="I36" s="133">
        <f t="shared" si="2"/>
        <v>3.0669844095437594E-2</v>
      </c>
      <c r="J36" s="40"/>
      <c r="K36" s="97"/>
      <c r="L36" s="40"/>
      <c r="M36" s="40"/>
      <c r="N36" s="40"/>
    </row>
    <row r="37" spans="1:14" ht="24" customHeight="1">
      <c r="A37" s="52">
        <v>9</v>
      </c>
      <c r="B37" s="53" t="s">
        <v>10</v>
      </c>
      <c r="C37" s="30" t="s">
        <v>23</v>
      </c>
      <c r="D37" s="76">
        <f t="shared" ref="D37:E37" si="7">SUM(D33:D36)</f>
        <v>928.65200000000016</v>
      </c>
      <c r="E37" s="76">
        <f t="shared" si="7"/>
        <v>4638.2719999999999</v>
      </c>
      <c r="F37" s="76">
        <v>861.13</v>
      </c>
      <c r="G37" s="76">
        <v>4348.84</v>
      </c>
      <c r="H37" s="75">
        <f>(D37-F37)/F37</f>
        <v>7.8410925179705923E-2</v>
      </c>
      <c r="I37" s="133">
        <f t="shared" si="2"/>
        <v>6.6553839644594825E-2</v>
      </c>
      <c r="J37" s="97"/>
      <c r="K37" s="97"/>
      <c r="L37" s="40"/>
      <c r="M37" s="66"/>
      <c r="N37" s="63"/>
    </row>
    <row r="38" spans="1:14" ht="21.6" customHeight="1">
      <c r="A38" s="52">
        <v>10</v>
      </c>
      <c r="B38" s="53" t="s">
        <v>136</v>
      </c>
      <c r="C38" s="30" t="s">
        <v>23</v>
      </c>
      <c r="D38" s="76">
        <f>E38-933.88</f>
        <v>429.05800000000011</v>
      </c>
      <c r="E38" s="76">
        <v>1362.9380000000001</v>
      </c>
      <c r="F38" s="76">
        <v>434.9</v>
      </c>
      <c r="G38" s="76">
        <v>1228.53</v>
      </c>
      <c r="H38" s="75">
        <f>(D38-F38)/F38</f>
        <v>-1.3432973097263443E-2</v>
      </c>
      <c r="I38" s="133">
        <f t="shared" si="2"/>
        <v>0.10940554972202562</v>
      </c>
      <c r="J38" s="40"/>
      <c r="K38" s="97"/>
      <c r="L38" s="40"/>
      <c r="M38" s="66"/>
      <c r="N38" s="63"/>
    </row>
    <row r="39" spans="1:14" ht="24" customHeight="1">
      <c r="A39" s="52">
        <v>11</v>
      </c>
      <c r="B39" s="53" t="s">
        <v>11</v>
      </c>
      <c r="C39" s="30" t="s">
        <v>23</v>
      </c>
      <c r="D39" s="76">
        <f t="shared" ref="D39" si="8">D37+D38</f>
        <v>1357.7100000000003</v>
      </c>
      <c r="E39" s="76">
        <f t="shared" ref="E39:F39" si="9">E37+E38</f>
        <v>6001.21</v>
      </c>
      <c r="F39" s="76">
        <f t="shared" si="9"/>
        <v>1296.03</v>
      </c>
      <c r="G39" s="76">
        <f t="shared" ref="G39" si="10">G37+G38</f>
        <v>5577.37</v>
      </c>
      <c r="H39" s="75">
        <f>(D39-F39)/F39</f>
        <v>4.759149093771E-2</v>
      </c>
      <c r="I39" s="133">
        <f t="shared" si="2"/>
        <v>7.5992806645426098E-2</v>
      </c>
      <c r="J39" s="97"/>
      <c r="K39" s="97"/>
      <c r="L39" s="40"/>
      <c r="M39" s="66"/>
      <c r="N39" s="63"/>
    </row>
    <row r="40" spans="1:14" ht="31.5" customHeight="1" thickBot="1">
      <c r="A40" s="54">
        <v>12</v>
      </c>
      <c r="B40" s="55" t="s">
        <v>12</v>
      </c>
      <c r="C40" s="31" t="s">
        <v>23</v>
      </c>
      <c r="D40" s="82">
        <f t="shared" ref="D40" si="11">D32+D39</f>
        <v>2363.357</v>
      </c>
      <c r="E40" s="82">
        <f t="shared" ref="E40:F40" si="12">E32+E39</f>
        <v>10129.307000000001</v>
      </c>
      <c r="F40" s="82">
        <f t="shared" si="12"/>
        <v>2290.6499999999996</v>
      </c>
      <c r="G40" s="82">
        <f t="shared" ref="G40" si="13">G32+G39</f>
        <v>9280.85</v>
      </c>
      <c r="H40" s="134">
        <f>(D40-F40)/F40</f>
        <v>3.1740772269879883E-2</v>
      </c>
      <c r="I40" s="135">
        <f t="shared" si="2"/>
        <v>9.1420182418636253E-2</v>
      </c>
      <c r="J40" s="97"/>
      <c r="K40" s="97"/>
      <c r="L40" s="40"/>
      <c r="M40" s="40"/>
      <c r="N40" s="40"/>
    </row>
    <row r="41" spans="1:14">
      <c r="A41" s="40"/>
      <c r="B41" s="40"/>
      <c r="C41" s="40"/>
      <c r="D41" s="121"/>
      <c r="E41" s="121"/>
      <c r="F41" s="121"/>
      <c r="G41" s="121"/>
      <c r="H41" s="121"/>
      <c r="I41" s="121"/>
      <c r="J41" s="40"/>
      <c r="K41" s="40"/>
      <c r="L41" s="40"/>
      <c r="M41" s="40"/>
      <c r="N41" s="40"/>
    </row>
    <row r="42" spans="1:14">
      <c r="A42" s="40"/>
      <c r="B42" s="40"/>
      <c r="C42" s="40"/>
      <c r="D42" s="97"/>
      <c r="E42" s="97"/>
      <c r="F42" s="40"/>
      <c r="G42" s="97"/>
      <c r="H42" s="40"/>
      <c r="I42" s="40"/>
      <c r="J42" s="40"/>
      <c r="K42" s="40"/>
      <c r="L42" s="40"/>
      <c r="M42" s="40"/>
      <c r="N42" s="40"/>
    </row>
    <row r="43" spans="1:14" ht="12.75" customHeight="1">
      <c r="A43" s="292" t="s">
        <v>138</v>
      </c>
      <c r="B43" s="292"/>
      <c r="C43" s="40"/>
      <c r="D43" s="40"/>
      <c r="E43" s="40"/>
      <c r="F43" s="40"/>
      <c r="G43" s="40"/>
      <c r="H43" s="40"/>
      <c r="I43" s="40"/>
      <c r="J43" s="40"/>
      <c r="K43" s="40"/>
      <c r="L43" s="40"/>
      <c r="M43" s="40"/>
      <c r="N43" s="40"/>
    </row>
    <row r="44" spans="1:14">
      <c r="A44" s="40"/>
      <c r="B44" s="40"/>
      <c r="C44" s="40"/>
      <c r="D44" s="40"/>
      <c r="E44" s="40"/>
      <c r="F44" s="40"/>
      <c r="G44" s="40"/>
      <c r="H44" s="40"/>
      <c r="I44" s="40"/>
      <c r="J44" s="40"/>
      <c r="K44" s="40"/>
      <c r="L44" s="40"/>
      <c r="M44" s="40"/>
      <c r="N44" s="40"/>
    </row>
    <row r="45" spans="1:14">
      <c r="A45" s="40"/>
      <c r="B45" s="40"/>
      <c r="C45" s="40"/>
      <c r="D45" s="40"/>
      <c r="E45" s="40"/>
      <c r="F45" s="40"/>
      <c r="G45" s="40"/>
      <c r="H45" s="40"/>
      <c r="I45" s="40"/>
      <c r="J45" s="40"/>
      <c r="K45" s="40"/>
      <c r="L45" s="40"/>
      <c r="M45" s="40"/>
      <c r="N45" s="40"/>
    </row>
    <row r="46" spans="1:14">
      <c r="A46" s="40"/>
      <c r="B46" s="40"/>
      <c r="C46" s="40"/>
      <c r="D46" s="40"/>
      <c r="E46" s="40"/>
      <c r="F46" s="97"/>
      <c r="G46" s="97"/>
      <c r="H46" s="40"/>
      <c r="I46" s="40"/>
      <c r="J46" s="40"/>
      <c r="K46" s="40"/>
      <c r="L46" s="40"/>
      <c r="M46" s="40"/>
      <c r="N46" s="40"/>
    </row>
    <row r="47" spans="1:14">
      <c r="A47" s="40"/>
      <c r="B47" s="40"/>
      <c r="C47" s="40"/>
      <c r="D47" s="40"/>
      <c r="E47" s="40"/>
      <c r="F47" s="40"/>
      <c r="G47" s="40"/>
      <c r="H47" s="40"/>
      <c r="I47" s="40"/>
      <c r="J47" s="40"/>
      <c r="K47" s="40"/>
      <c r="L47" s="40"/>
      <c r="M47" s="40"/>
      <c r="N47" s="40"/>
    </row>
    <row r="48" spans="1:14">
      <c r="A48" s="40"/>
      <c r="B48" s="40"/>
      <c r="C48" s="40"/>
      <c r="D48" s="40"/>
      <c r="E48" s="40"/>
      <c r="F48" s="40"/>
      <c r="G48" s="40"/>
      <c r="H48" s="40"/>
      <c r="I48" s="40"/>
      <c r="J48" s="40"/>
      <c r="K48" s="40"/>
      <c r="L48" s="40"/>
      <c r="M48" s="40"/>
      <c r="N48" s="40"/>
    </row>
    <row r="49" spans="1:14" ht="15.75">
      <c r="A49" s="40"/>
      <c r="B49" s="40"/>
      <c r="C49" s="40"/>
      <c r="D49" s="40"/>
      <c r="E49" s="109"/>
      <c r="F49" s="40"/>
      <c r="G49" s="40"/>
      <c r="H49" s="40"/>
      <c r="I49" s="40"/>
      <c r="J49" s="40"/>
      <c r="K49" s="40"/>
      <c r="L49" s="40"/>
      <c r="M49" s="40"/>
      <c r="N49" s="40"/>
    </row>
    <row r="50" spans="1:14" ht="15.75">
      <c r="A50" s="40"/>
      <c r="B50" s="40"/>
      <c r="C50" s="40"/>
      <c r="D50" s="40"/>
      <c r="E50" s="109"/>
      <c r="F50" s="40"/>
      <c r="G50" s="40"/>
      <c r="H50" s="40"/>
      <c r="I50" s="40"/>
      <c r="J50" s="40"/>
      <c r="K50" s="40"/>
      <c r="L50" s="40"/>
      <c r="M50" s="40"/>
      <c r="N50" s="40"/>
    </row>
    <row r="51" spans="1:14" ht="15.75">
      <c r="A51" s="40"/>
      <c r="B51" s="40"/>
      <c r="C51" s="40"/>
      <c r="D51" s="40"/>
      <c r="E51" s="109"/>
      <c r="F51" s="40"/>
      <c r="G51" s="40"/>
      <c r="H51" s="40"/>
      <c r="I51" s="40"/>
      <c r="J51" s="40"/>
      <c r="K51" s="40"/>
      <c r="L51" s="40"/>
      <c r="M51" s="40"/>
      <c r="N51" s="40"/>
    </row>
    <row r="52" spans="1:14" ht="23.25">
      <c r="A52" s="40"/>
      <c r="B52" s="40"/>
      <c r="C52" s="40"/>
      <c r="D52" s="68"/>
      <c r="E52" s="109"/>
      <c r="F52" s="40"/>
      <c r="G52" s="40"/>
      <c r="H52" s="40"/>
      <c r="I52" s="40"/>
      <c r="J52" s="40"/>
    </row>
    <row r="53" spans="1:14">
      <c r="A53" s="40"/>
      <c r="B53" s="40"/>
      <c r="C53" s="40"/>
      <c r="D53" s="40"/>
      <c r="E53" s="40"/>
      <c r="F53" s="40"/>
      <c r="G53" s="40"/>
      <c r="H53" s="40"/>
      <c r="I53" s="40"/>
      <c r="J53" s="40"/>
    </row>
    <row r="54" spans="1:14">
      <c r="A54" s="40"/>
      <c r="B54" s="40"/>
      <c r="C54" s="40"/>
      <c r="D54" s="40"/>
      <c r="E54" s="40"/>
      <c r="F54" s="40"/>
      <c r="G54" s="40"/>
      <c r="H54" s="40"/>
      <c r="I54" s="40"/>
      <c r="J54" s="40"/>
    </row>
    <row r="55" spans="1:14">
      <c r="A55" s="40"/>
      <c r="B55" s="40"/>
      <c r="C55" s="40"/>
      <c r="D55" s="40"/>
      <c r="E55" s="40"/>
      <c r="F55" s="40"/>
      <c r="G55" s="40"/>
      <c r="H55" s="40"/>
      <c r="I55" s="40"/>
      <c r="J55" s="40"/>
    </row>
    <row r="56" spans="1:14">
      <c r="A56" s="40"/>
      <c r="B56" s="40"/>
      <c r="C56" s="40"/>
      <c r="D56" s="40"/>
      <c r="E56" s="40"/>
      <c r="F56" s="40"/>
      <c r="G56" s="40"/>
      <c r="H56" s="40"/>
      <c r="I56" s="40"/>
      <c r="J56" s="40"/>
    </row>
    <row r="57" spans="1:14" ht="26.25">
      <c r="A57" s="40"/>
      <c r="B57" s="40"/>
      <c r="C57" s="40"/>
      <c r="D57" s="64"/>
      <c r="E57" s="64"/>
      <c r="F57" s="69"/>
      <c r="G57" s="40"/>
      <c r="H57" s="40"/>
      <c r="I57" s="40"/>
      <c r="J57" s="40"/>
    </row>
    <row r="58" spans="1:14" ht="26.25">
      <c r="D58" s="64"/>
      <c r="E58" s="64"/>
      <c r="F58" s="69"/>
      <c r="G58" s="90"/>
      <c r="H58" s="90"/>
    </row>
    <row r="59" spans="1:14" ht="26.25">
      <c r="D59" s="64"/>
      <c r="E59" s="64"/>
      <c r="H59" s="90"/>
    </row>
    <row r="61" spans="1:14" ht="15.75">
      <c r="G61" s="109"/>
    </row>
    <row r="76" spans="7:7">
      <c r="G76" s="110"/>
    </row>
    <row r="77" spans="7:7">
      <c r="G77" s="110"/>
    </row>
  </sheetData>
  <mergeCells count="25">
    <mergeCell ref="J34:J35"/>
    <mergeCell ref="K34:K35"/>
    <mergeCell ref="A43:B43"/>
    <mergeCell ref="H11:I11"/>
    <mergeCell ref="H12:H13"/>
    <mergeCell ref="I12:I13"/>
    <mergeCell ref="D13:E13"/>
    <mergeCell ref="D11:E11"/>
    <mergeCell ref="D34:D35"/>
    <mergeCell ref="D19:D20"/>
    <mergeCell ref="A5:I5"/>
    <mergeCell ref="I19:I20"/>
    <mergeCell ref="E34:E35"/>
    <mergeCell ref="H34:H35"/>
    <mergeCell ref="E19:E20"/>
    <mergeCell ref="I34:I35"/>
    <mergeCell ref="G34:G35"/>
    <mergeCell ref="F19:F20"/>
    <mergeCell ref="G19:G20"/>
    <mergeCell ref="A9:I9"/>
    <mergeCell ref="A7:I7"/>
    <mergeCell ref="F34:F35"/>
    <mergeCell ref="H19:H20"/>
    <mergeCell ref="F11:G11"/>
    <mergeCell ref="F13:G13"/>
  </mergeCells>
  <phoneticPr fontId="1" type="noConversion"/>
  <printOptions horizontalCentered="1" verticalCentered="1"/>
  <pageMargins left="0.25" right="0.25" top="0.67500000000000004" bottom="0.25" header="0.5" footer="0.5"/>
  <pageSetup scale="51" orientation="landscape" r:id="rId1"/>
  <headerFooter alignWithMargins="0"/>
</worksheet>
</file>

<file path=xl/worksheets/sheet5.xml><?xml version="1.0" encoding="utf-8"?>
<worksheet xmlns="http://schemas.openxmlformats.org/spreadsheetml/2006/main" xmlns:r="http://schemas.openxmlformats.org/officeDocument/2006/relationships">
  <sheetPr>
    <tabColor rgb="FFFFC000"/>
  </sheetPr>
  <dimension ref="A2:R62"/>
  <sheetViews>
    <sheetView view="pageBreakPreview" topLeftCell="A13" zoomScale="60" zoomScaleNormal="70" workbookViewId="0">
      <selection activeCell="D29" sqref="D29"/>
    </sheetView>
  </sheetViews>
  <sheetFormatPr defaultRowHeight="12.75"/>
  <cols>
    <col min="1" max="1" width="8" customWidth="1"/>
    <col min="2" max="2" width="80.140625" customWidth="1"/>
    <col min="3" max="3" width="23.28515625" customWidth="1"/>
    <col min="4" max="4" width="22.42578125" customWidth="1"/>
    <col min="5" max="5" width="23.28515625" customWidth="1"/>
    <col min="6" max="6" width="23.85546875" customWidth="1"/>
    <col min="7" max="7" width="23.42578125" customWidth="1"/>
    <col min="8" max="8" width="23.7109375" customWidth="1"/>
    <col min="9" max="9" width="21" customWidth="1"/>
    <col min="10" max="10" width="18.85546875" customWidth="1"/>
    <col min="11" max="11" width="18.140625" customWidth="1"/>
    <col min="12" max="13" width="15.85546875" style="118" customWidth="1"/>
    <col min="14" max="14" width="27.42578125" customWidth="1"/>
    <col min="15" max="15" width="24.5703125" customWidth="1"/>
    <col min="16" max="16" width="33.7109375" bestFit="1" customWidth="1"/>
    <col min="18" max="18" width="33.42578125" customWidth="1"/>
  </cols>
  <sheetData>
    <row r="2" spans="1:11" ht="33">
      <c r="G2" s="106"/>
      <c r="H2" s="106"/>
      <c r="I2" s="4" t="s">
        <v>21</v>
      </c>
    </row>
    <row r="3" spans="1:11" ht="18">
      <c r="G3" s="106"/>
      <c r="H3" s="106"/>
    </row>
    <row r="4" spans="1:11" ht="18">
      <c r="G4" s="107"/>
      <c r="H4" s="108"/>
    </row>
    <row r="5" spans="1:11" ht="30">
      <c r="A5" s="314" t="s">
        <v>0</v>
      </c>
      <c r="B5" s="314"/>
      <c r="C5" s="314"/>
      <c r="D5" s="314"/>
      <c r="E5" s="314"/>
      <c r="F5" s="314"/>
      <c r="G5" s="314"/>
      <c r="H5" s="314"/>
      <c r="I5" s="314"/>
      <c r="J5" s="40"/>
    </row>
    <row r="6" spans="1:11">
      <c r="A6" s="40"/>
      <c r="B6" s="40"/>
      <c r="C6" s="40"/>
      <c r="D6" s="40"/>
      <c r="E6" s="40"/>
      <c r="F6" s="40"/>
      <c r="G6" s="40"/>
      <c r="H6" s="40"/>
      <c r="I6" s="40"/>
      <c r="J6" s="40"/>
    </row>
    <row r="7" spans="1:11" ht="27.75">
      <c r="A7" s="315" t="s">
        <v>19</v>
      </c>
      <c r="B7" s="315"/>
      <c r="C7" s="315"/>
      <c r="D7" s="315"/>
      <c r="E7" s="315"/>
      <c r="F7" s="315"/>
      <c r="G7" s="315"/>
      <c r="H7" s="315"/>
      <c r="I7" s="315"/>
      <c r="J7" s="40"/>
    </row>
    <row r="8" spans="1:11">
      <c r="A8" s="40"/>
      <c r="B8" s="40"/>
      <c r="C8" s="40"/>
      <c r="D8" s="40"/>
      <c r="E8" s="40"/>
      <c r="F8" s="40"/>
      <c r="G8" s="40"/>
      <c r="H8" s="40"/>
      <c r="I8" s="40"/>
      <c r="J8" s="40"/>
    </row>
    <row r="9" spans="1:11" ht="27.75">
      <c r="A9" s="315" t="s">
        <v>18</v>
      </c>
      <c r="B9" s="315"/>
      <c r="C9" s="315"/>
      <c r="D9" s="315"/>
      <c r="E9" s="315"/>
      <c r="F9" s="315"/>
      <c r="G9" s="315"/>
      <c r="H9" s="315"/>
      <c r="I9" s="315"/>
      <c r="J9" s="40"/>
    </row>
    <row r="10" spans="1:11" ht="13.5" thickBot="1">
      <c r="A10" s="40"/>
      <c r="B10" s="40"/>
      <c r="C10" s="40"/>
      <c r="D10" s="40"/>
      <c r="E10" s="40"/>
      <c r="F10" s="40"/>
      <c r="G10" s="40"/>
      <c r="H10" s="40"/>
      <c r="I10" s="40"/>
      <c r="J10" s="40"/>
    </row>
    <row r="11" spans="1:11" ht="21.6" customHeight="1">
      <c r="A11" s="50"/>
      <c r="B11" s="49"/>
      <c r="C11" s="49"/>
      <c r="D11" s="309" t="s">
        <v>137</v>
      </c>
      <c r="E11" s="309"/>
      <c r="F11" s="309" t="s">
        <v>84</v>
      </c>
      <c r="G11" s="309"/>
      <c r="H11" s="309" t="s">
        <v>16</v>
      </c>
      <c r="I11" s="323"/>
      <c r="J11" s="40"/>
      <c r="K11" s="40"/>
    </row>
    <row r="12" spans="1:11" ht="21.6" customHeight="1">
      <c r="A12" s="51"/>
      <c r="B12" s="2"/>
      <c r="C12" s="2"/>
      <c r="D12" s="115" t="s">
        <v>14</v>
      </c>
      <c r="E12" s="116" t="s">
        <v>15</v>
      </c>
      <c r="F12" s="73" t="s">
        <v>14</v>
      </c>
      <c r="G12" s="73" t="s">
        <v>15</v>
      </c>
      <c r="H12" s="306" t="s">
        <v>14</v>
      </c>
      <c r="I12" s="325" t="s">
        <v>15</v>
      </c>
      <c r="J12" s="40"/>
    </row>
    <row r="13" spans="1:11" ht="32.25" customHeight="1">
      <c r="A13" s="51" t="s">
        <v>46</v>
      </c>
      <c r="B13" s="59" t="s">
        <v>123</v>
      </c>
      <c r="C13" s="2"/>
      <c r="D13" s="306" t="str">
        <f>+'SHEET-4'!D13:E13</f>
        <v>Jan-2019 to Mar-2019(Provisinal)</v>
      </c>
      <c r="E13" s="306"/>
      <c r="F13" s="306" t="str">
        <f>+'SHEET-4'!F13:G13</f>
        <v>Jan-2018 to Mar-2018</v>
      </c>
      <c r="G13" s="306"/>
      <c r="H13" s="306"/>
      <c r="I13" s="325"/>
      <c r="J13" s="40"/>
    </row>
    <row r="14" spans="1:11" ht="21.6" customHeight="1">
      <c r="A14" s="52">
        <v>1</v>
      </c>
      <c r="B14" s="53" t="s">
        <v>4</v>
      </c>
      <c r="C14" s="30" t="s">
        <v>13</v>
      </c>
      <c r="D14" s="153">
        <f>E14-2090.01</f>
        <v>657.10999999999967</v>
      </c>
      <c r="E14" s="153">
        <v>2747.12</v>
      </c>
      <c r="F14" s="76">
        <f>733.08-100</f>
        <v>633.08000000000004</v>
      </c>
      <c r="G14" s="76">
        <v>2452.2600000000002</v>
      </c>
      <c r="H14" s="75">
        <f>(D14-F14)/F14</f>
        <v>3.795728817842868E-2</v>
      </c>
      <c r="I14" s="133">
        <f>(E14-G14)/G14</f>
        <v>0.12024010504595746</v>
      </c>
      <c r="J14" s="114">
        <f>2452.26*0.75</f>
        <v>1839.1950000000002</v>
      </c>
      <c r="K14" s="90"/>
    </row>
    <row r="15" spans="1:11" ht="21.6" customHeight="1">
      <c r="A15" s="52">
        <v>2</v>
      </c>
      <c r="B15" s="53" t="s">
        <v>83</v>
      </c>
      <c r="C15" s="30" t="s">
        <v>13</v>
      </c>
      <c r="D15" s="153">
        <f>E15-0</f>
        <v>0</v>
      </c>
      <c r="E15" s="153">
        <v>0</v>
      </c>
      <c r="F15" s="76">
        <v>0</v>
      </c>
      <c r="G15" s="76">
        <v>0</v>
      </c>
      <c r="H15" s="158" t="e">
        <f>(D15-F15)/F15</f>
        <v>#DIV/0!</v>
      </c>
      <c r="I15" s="159" t="e">
        <f t="shared" ref="I15:I25" si="0">(E15-G15)/G15</f>
        <v>#DIV/0!</v>
      </c>
      <c r="J15" s="114"/>
      <c r="K15" s="90"/>
    </row>
    <row r="16" spans="1:11" ht="21.6" customHeight="1">
      <c r="A16" s="52">
        <v>3</v>
      </c>
      <c r="B16" s="53" t="s">
        <v>7</v>
      </c>
      <c r="C16" s="30" t="s">
        <v>13</v>
      </c>
      <c r="D16" s="153">
        <v>0</v>
      </c>
      <c r="E16" s="153">
        <v>0</v>
      </c>
      <c r="F16" s="76">
        <v>0</v>
      </c>
      <c r="G16" s="76">
        <v>0</v>
      </c>
      <c r="H16" s="75">
        <v>0</v>
      </c>
      <c r="I16" s="133">
        <v>0</v>
      </c>
      <c r="J16" s="114"/>
      <c r="K16" s="90"/>
    </row>
    <row r="17" spans="1:18" ht="24" customHeight="1">
      <c r="A17" s="52">
        <v>4</v>
      </c>
      <c r="B17" s="53" t="s">
        <v>8</v>
      </c>
      <c r="C17" s="30" t="s">
        <v>13</v>
      </c>
      <c r="D17" s="153">
        <f t="shared" ref="D17:F17" si="1">SUM(D14:D16)</f>
        <v>657.10999999999967</v>
      </c>
      <c r="E17" s="153">
        <f t="shared" si="1"/>
        <v>2747.12</v>
      </c>
      <c r="F17" s="76">
        <f t="shared" si="1"/>
        <v>633.08000000000004</v>
      </c>
      <c r="G17" s="76">
        <f t="shared" ref="G17" si="2">SUM(G14:G16)</f>
        <v>2452.2600000000002</v>
      </c>
      <c r="H17" s="75">
        <f>(D17-F17)/F17</f>
        <v>3.795728817842868E-2</v>
      </c>
      <c r="I17" s="133">
        <f t="shared" si="0"/>
        <v>0.12024010504595746</v>
      </c>
      <c r="J17" s="97"/>
      <c r="K17" s="90"/>
    </row>
    <row r="18" spans="1:18" ht="21.6" customHeight="1">
      <c r="A18" s="52">
        <v>5</v>
      </c>
      <c r="B18" s="53" t="s">
        <v>2</v>
      </c>
      <c r="C18" s="30" t="s">
        <v>13</v>
      </c>
      <c r="D18" s="153">
        <f>E18-1145.91</f>
        <v>282.06999999999994</v>
      </c>
      <c r="E18" s="153">
        <v>1427.98</v>
      </c>
      <c r="F18" s="76">
        <v>257.69</v>
      </c>
      <c r="G18" s="76">
        <v>1335.59</v>
      </c>
      <c r="H18" s="75">
        <f>(D18-F18)/F18</f>
        <v>9.460980247584283E-2</v>
      </c>
      <c r="I18" s="133">
        <f t="shared" si="0"/>
        <v>6.9175420600633503E-2</v>
      </c>
      <c r="J18" s="114"/>
      <c r="K18" s="90"/>
      <c r="O18" s="66"/>
      <c r="P18" s="63"/>
    </row>
    <row r="19" spans="1:18" ht="21.6" customHeight="1">
      <c r="A19" s="52">
        <v>6</v>
      </c>
      <c r="B19" s="53" t="s">
        <v>3</v>
      </c>
      <c r="C19" s="30" t="s">
        <v>13</v>
      </c>
      <c r="D19" s="293">
        <f>E19-950.63</f>
        <v>254.93999999999994</v>
      </c>
      <c r="E19" s="293">
        <v>1205.57</v>
      </c>
      <c r="F19" s="288">
        <v>229.4</v>
      </c>
      <c r="G19" s="288">
        <v>1087.21</v>
      </c>
      <c r="H19" s="283">
        <f>(D19-F19)/F19</f>
        <v>0.11133391455972072</v>
      </c>
      <c r="I19" s="286">
        <f t="shared" si="0"/>
        <v>0.10886581249252665</v>
      </c>
      <c r="J19" s="326"/>
      <c r="K19" s="327"/>
      <c r="O19" s="66"/>
      <c r="P19" s="63"/>
    </row>
    <row r="20" spans="1:18" ht="21.6" customHeight="1">
      <c r="A20" s="52">
        <v>7</v>
      </c>
      <c r="B20" s="53" t="s">
        <v>1</v>
      </c>
      <c r="C20" s="30" t="s">
        <v>13</v>
      </c>
      <c r="D20" s="294"/>
      <c r="E20" s="294"/>
      <c r="F20" s="291"/>
      <c r="G20" s="291"/>
      <c r="H20" s="284"/>
      <c r="I20" s="287"/>
      <c r="J20" s="326"/>
      <c r="K20" s="327"/>
      <c r="O20" s="66"/>
      <c r="P20" s="63"/>
    </row>
    <row r="21" spans="1:18" ht="21.6" customHeight="1">
      <c r="A21" s="52">
        <v>8</v>
      </c>
      <c r="B21" s="53" t="s">
        <v>121</v>
      </c>
      <c r="C21" s="30" t="s">
        <v>13</v>
      </c>
      <c r="D21" s="153">
        <f>E21-130.16</f>
        <v>43.860000000000014</v>
      </c>
      <c r="E21" s="153">
        <v>174.02</v>
      </c>
      <c r="F21" s="76">
        <f>22.41+17</f>
        <v>39.409999999999997</v>
      </c>
      <c r="G21" s="76">
        <v>156.05000000000001</v>
      </c>
      <c r="H21" s="75">
        <f>(D21-F21)/F21</f>
        <v>0.11291550367926967</v>
      </c>
      <c r="I21" s="133">
        <f t="shared" si="0"/>
        <v>0.11515539891060556</v>
      </c>
      <c r="J21" s="108"/>
      <c r="K21" s="90"/>
      <c r="O21" s="40"/>
      <c r="P21" s="40"/>
    </row>
    <row r="22" spans="1:18" ht="24" customHeight="1">
      <c r="A22" s="52">
        <v>9</v>
      </c>
      <c r="B22" s="53" t="s">
        <v>10</v>
      </c>
      <c r="C22" s="30" t="s">
        <v>13</v>
      </c>
      <c r="D22" s="153">
        <f t="shared" ref="D22:F22" si="3">SUM(D18:D21)</f>
        <v>580.86999999999989</v>
      </c>
      <c r="E22" s="153">
        <f t="shared" si="3"/>
        <v>2807.57</v>
      </c>
      <c r="F22" s="76">
        <f t="shared" si="3"/>
        <v>526.5</v>
      </c>
      <c r="G22" s="76">
        <f t="shared" ref="G22" si="4">SUM(G18:G21)</f>
        <v>2578.8500000000004</v>
      </c>
      <c r="H22" s="75">
        <f>(D22-F22)/F22</f>
        <v>0.10326685660018972</v>
      </c>
      <c r="I22" s="133">
        <f t="shared" si="0"/>
        <v>8.8690695465032776E-2</v>
      </c>
      <c r="J22" s="97"/>
      <c r="K22" s="90"/>
      <c r="O22" s="66"/>
      <c r="P22" s="63"/>
    </row>
    <row r="23" spans="1:18" ht="21.6" customHeight="1">
      <c r="A23" s="52">
        <v>10</v>
      </c>
      <c r="B23" s="53" t="s">
        <v>109</v>
      </c>
      <c r="C23" s="30" t="s">
        <v>13</v>
      </c>
      <c r="D23" s="153">
        <f>E23-184.26-50</f>
        <v>96.38</v>
      </c>
      <c r="E23" s="153">
        <v>330.64</v>
      </c>
      <c r="F23" s="76">
        <v>89.15</v>
      </c>
      <c r="G23" s="76">
        <v>253.14</v>
      </c>
      <c r="H23" s="75">
        <f>(D23-F23)/F23</f>
        <v>8.1099270891755351E-2</v>
      </c>
      <c r="I23" s="133">
        <f t="shared" si="0"/>
        <v>0.30615469700560954</v>
      </c>
      <c r="J23" s="40"/>
      <c r="K23" s="90"/>
      <c r="O23" s="66"/>
      <c r="P23" s="63"/>
    </row>
    <row r="24" spans="1:18" ht="24" customHeight="1">
      <c r="A24" s="52">
        <v>11</v>
      </c>
      <c r="B24" s="53" t="s">
        <v>11</v>
      </c>
      <c r="C24" s="30" t="s">
        <v>13</v>
      </c>
      <c r="D24" s="153">
        <f t="shared" ref="D24:E24" si="5">SUM(D22:D23)</f>
        <v>677.24999999999989</v>
      </c>
      <c r="E24" s="153">
        <f t="shared" si="5"/>
        <v>3138.21</v>
      </c>
      <c r="F24" s="76">
        <f t="shared" ref="F24:G24" si="6">SUM(F22:F23)</f>
        <v>615.65</v>
      </c>
      <c r="G24" s="76">
        <f t="shared" si="6"/>
        <v>2831.9900000000002</v>
      </c>
      <c r="H24" s="75">
        <f>(D24-F24)/F24</f>
        <v>0.10005685048322896</v>
      </c>
      <c r="I24" s="133">
        <f t="shared" si="0"/>
        <v>0.10812891288457932</v>
      </c>
      <c r="J24" s="97"/>
      <c r="K24" s="90"/>
      <c r="O24" s="66"/>
      <c r="P24" s="63"/>
    </row>
    <row r="25" spans="1:18" ht="31.5" customHeight="1" thickBot="1">
      <c r="A25" s="54">
        <v>12</v>
      </c>
      <c r="B25" s="55" t="s">
        <v>12</v>
      </c>
      <c r="C25" s="31" t="s">
        <v>13</v>
      </c>
      <c r="D25" s="170">
        <f>D17+D24</f>
        <v>1334.3599999999997</v>
      </c>
      <c r="E25" s="170">
        <f t="shared" ref="E25" si="7">E17+E24</f>
        <v>5885.33</v>
      </c>
      <c r="F25" s="82">
        <f>F17+F24</f>
        <v>1248.73</v>
      </c>
      <c r="G25" s="82">
        <f t="shared" ref="G25" si="8">G17+G24</f>
        <v>5284.25</v>
      </c>
      <c r="H25" s="134">
        <f>(D25-F25)/F25</f>
        <v>6.8573670849582893E-2</v>
      </c>
      <c r="I25" s="135">
        <f t="shared" si="0"/>
        <v>0.11374934948195106</v>
      </c>
      <c r="J25" s="97"/>
      <c r="K25" s="90"/>
    </row>
    <row r="26" spans="1:18" ht="15" customHeight="1">
      <c r="A26" s="32"/>
      <c r="B26" s="33"/>
      <c r="C26" s="34"/>
      <c r="D26" s="130"/>
      <c r="E26" s="83"/>
      <c r="F26" s="83"/>
      <c r="G26" s="130"/>
      <c r="H26" s="83"/>
      <c r="I26" s="83"/>
      <c r="J26" s="40"/>
    </row>
    <row r="27" spans="1:18" ht="28.5" customHeight="1">
      <c r="A27" s="35" t="s">
        <v>47</v>
      </c>
      <c r="B27" s="36" t="s">
        <v>17</v>
      </c>
      <c r="C27" s="34"/>
      <c r="D27" s="83"/>
      <c r="E27" s="83"/>
      <c r="F27" s="83"/>
      <c r="G27" s="130"/>
      <c r="H27" s="128"/>
      <c r="I27" s="83"/>
      <c r="J27" s="40"/>
    </row>
    <row r="28" spans="1:18" ht="15" customHeight="1" thickBot="1">
      <c r="A28" s="32"/>
      <c r="B28" s="33"/>
      <c r="C28" s="34"/>
      <c r="D28" s="83"/>
      <c r="E28" s="83"/>
      <c r="F28" s="83"/>
      <c r="G28" s="83"/>
      <c r="H28" s="83"/>
      <c r="I28" s="83"/>
      <c r="J28" s="40"/>
    </row>
    <row r="29" spans="1:18" ht="21.6" customHeight="1" thickBot="1">
      <c r="A29" s="56">
        <v>1</v>
      </c>
      <c r="B29" s="57" t="s">
        <v>4</v>
      </c>
      <c r="C29" s="58" t="s">
        <v>20</v>
      </c>
      <c r="D29" s="84">
        <f>(D14/'SHEET-4'!D29)*1000</f>
        <v>653.4201364892449</v>
      </c>
      <c r="E29" s="84">
        <f>(E14/'SHEET-4'!E29)*1000</f>
        <v>665.46885889551527</v>
      </c>
      <c r="F29" s="84">
        <f>(F14/'SHEET-4'!F29)*1000</f>
        <v>636.50439363777139</v>
      </c>
      <c r="G29" s="84">
        <f>(G14/'SHEET-4'!G29)*1000</f>
        <v>662.15019387170992</v>
      </c>
      <c r="H29" s="141">
        <f>(D29-F29)/F29</f>
        <v>2.6576003277520341E-2</v>
      </c>
      <c r="I29" s="142">
        <f>(E29-G29)/G29</f>
        <v>5.0119520533559421E-3</v>
      </c>
      <c r="J29" s="40"/>
      <c r="K29" s="40"/>
      <c r="L29" s="119"/>
      <c r="M29" s="119"/>
      <c r="N29" s="40"/>
      <c r="O29" s="89"/>
      <c r="P29" s="72"/>
      <c r="R29" s="72"/>
    </row>
    <row r="30" spans="1:18" ht="21.6" customHeight="1" thickBot="1">
      <c r="A30" s="52">
        <v>2</v>
      </c>
      <c r="B30" s="53" t="s">
        <v>83</v>
      </c>
      <c r="C30" s="30" t="s">
        <v>20</v>
      </c>
      <c r="D30" s="84">
        <v>0</v>
      </c>
      <c r="E30" s="84">
        <v>0</v>
      </c>
      <c r="F30" s="84">
        <v>0</v>
      </c>
      <c r="G30" s="84">
        <v>0</v>
      </c>
      <c r="H30" s="158" t="e">
        <f>(D30-F30)/F30</f>
        <v>#DIV/0!</v>
      </c>
      <c r="I30" s="159" t="e">
        <f t="shared" ref="I30:I40" si="9">(E30-G30)/G30</f>
        <v>#DIV/0!</v>
      </c>
      <c r="J30" s="40"/>
      <c r="K30" s="40"/>
      <c r="L30" s="119"/>
      <c r="M30" s="119"/>
      <c r="N30" s="89"/>
      <c r="O30" s="89"/>
      <c r="P30" s="72"/>
      <c r="R30" s="72"/>
    </row>
    <row r="31" spans="1:18" ht="21.6" customHeight="1" thickBot="1">
      <c r="A31" s="52">
        <v>3</v>
      </c>
      <c r="B31" s="53" t="s">
        <v>7</v>
      </c>
      <c r="C31" s="30" t="s">
        <v>20</v>
      </c>
      <c r="D31" s="84">
        <v>0</v>
      </c>
      <c r="E31" s="84">
        <v>0</v>
      </c>
      <c r="F31" s="84">
        <v>0</v>
      </c>
      <c r="G31" s="84">
        <v>0</v>
      </c>
      <c r="H31" s="75">
        <v>0</v>
      </c>
      <c r="I31" s="133">
        <v>0</v>
      </c>
      <c r="J31" s="40"/>
      <c r="K31" s="40"/>
      <c r="L31" s="119"/>
      <c r="M31" s="119"/>
      <c r="N31" s="89"/>
      <c r="O31" s="89"/>
      <c r="P31" s="72"/>
      <c r="R31" s="72"/>
    </row>
    <row r="32" spans="1:18" ht="24" customHeight="1" thickBot="1">
      <c r="A32" s="52">
        <v>4</v>
      </c>
      <c r="B32" s="53" t="s">
        <v>8</v>
      </c>
      <c r="C32" s="30" t="s">
        <v>20</v>
      </c>
      <c r="D32" s="84">
        <f>(D17/'SHEET-4'!D32)*1000</f>
        <v>653.4201364892449</v>
      </c>
      <c r="E32" s="84">
        <f>(E17/'SHEET-4'!E32)*1000</f>
        <v>665.46885889551527</v>
      </c>
      <c r="F32" s="84">
        <f>(F17/'SHEET-4'!F32)*1000</f>
        <v>636.50439363777139</v>
      </c>
      <c r="G32" s="84">
        <f>(G17/'SHEET-4'!G32)*1000</f>
        <v>662.15019387170992</v>
      </c>
      <c r="H32" s="75">
        <f>(D32-F32)/F32</f>
        <v>2.6576003277520341E-2</v>
      </c>
      <c r="I32" s="133">
        <f t="shared" si="9"/>
        <v>5.0119520533559421E-3</v>
      </c>
      <c r="J32" s="40"/>
      <c r="K32" s="40"/>
      <c r="L32" s="119"/>
      <c r="M32" s="119"/>
      <c r="N32" s="89"/>
      <c r="O32" s="89"/>
      <c r="P32" s="72"/>
      <c r="R32" s="72"/>
    </row>
    <row r="33" spans="1:18" ht="21.6" customHeight="1" thickBot="1">
      <c r="A33" s="52">
        <v>5</v>
      </c>
      <c r="B33" s="53" t="s">
        <v>2</v>
      </c>
      <c r="C33" s="30" t="s">
        <v>20</v>
      </c>
      <c r="D33" s="84">
        <f>(D18/'SHEET-4'!D33)*1000</f>
        <v>547.91407265246937</v>
      </c>
      <c r="E33" s="84">
        <f>(E18/'SHEET-4'!E33)*1000</f>
        <v>537.41301257707073</v>
      </c>
      <c r="F33" s="84">
        <f>(F18/'SHEET-4'!F33)*1000</f>
        <v>527.75047104120586</v>
      </c>
      <c r="G33" s="84">
        <f>(G18/'SHEET-4'!G33)*1000</f>
        <v>539.52768755958436</v>
      </c>
      <c r="H33" s="75">
        <f>(D33-F33)/F33</f>
        <v>3.8206695621668479E-2</v>
      </c>
      <c r="I33" s="133">
        <f t="shared" si="9"/>
        <v>-3.919492977420354E-3</v>
      </c>
      <c r="J33" s="40"/>
      <c r="K33" s="40"/>
      <c r="L33" s="119"/>
      <c r="M33" s="119"/>
      <c r="N33" s="89"/>
      <c r="O33" s="89"/>
      <c r="P33" s="72"/>
      <c r="R33" s="72"/>
    </row>
    <row r="34" spans="1:18" ht="21.6" customHeight="1">
      <c r="A34" s="52">
        <v>6</v>
      </c>
      <c r="B34" s="53" t="s">
        <v>3</v>
      </c>
      <c r="C34" s="30" t="s">
        <v>20</v>
      </c>
      <c r="D34" s="328">
        <f>(D19/'SHEET-4'!D34:D35)*1000</f>
        <v>749.24396716657407</v>
      </c>
      <c r="E34" s="328">
        <f>(E19/'SHEET-4'!E34:E35)*1000</f>
        <v>743.18672044671223</v>
      </c>
      <c r="F34" s="328">
        <f>(F19/'SHEET-4'!F34:F35)*1000</f>
        <v>711.07529214841452</v>
      </c>
      <c r="G34" s="328">
        <f>(G19/'SHEET-4'!G34:G35)*1000</f>
        <v>712.89186725855211</v>
      </c>
      <c r="H34" s="283">
        <f>(D34-F34)/F34</f>
        <v>5.3677402997421318E-2</v>
      </c>
      <c r="I34" s="286">
        <f t="shared" si="9"/>
        <v>4.2495720009627716E-2</v>
      </c>
      <c r="J34" s="40"/>
      <c r="K34" s="40"/>
      <c r="L34" s="119"/>
      <c r="M34" s="119"/>
      <c r="N34" s="89"/>
      <c r="O34" s="89"/>
      <c r="P34" s="72"/>
      <c r="R34" s="72"/>
    </row>
    <row r="35" spans="1:18" ht="21.6" customHeight="1" thickBot="1">
      <c r="A35" s="52">
        <v>7</v>
      </c>
      <c r="B35" s="53" t="s">
        <v>1</v>
      </c>
      <c r="C35" s="30" t="s">
        <v>20</v>
      </c>
      <c r="D35" s="329"/>
      <c r="E35" s="329"/>
      <c r="F35" s="329"/>
      <c r="G35" s="329"/>
      <c r="H35" s="284"/>
      <c r="I35" s="287"/>
      <c r="J35" s="40"/>
      <c r="K35" s="40"/>
      <c r="L35" s="119"/>
      <c r="M35" s="119"/>
      <c r="N35" s="89"/>
      <c r="O35" s="89"/>
      <c r="P35" s="72"/>
      <c r="R35" s="72"/>
    </row>
    <row r="36" spans="1:18" ht="21.6" customHeight="1" thickBot="1">
      <c r="A36" s="52">
        <v>8</v>
      </c>
      <c r="B36" s="53" t="s">
        <v>121</v>
      </c>
      <c r="C36" s="30" t="s">
        <v>20</v>
      </c>
      <c r="D36" s="84">
        <f>(D21/'SHEET-4'!D36)*1000</f>
        <v>596.06969095702777</v>
      </c>
      <c r="E36" s="84">
        <f>(E21/'SHEET-4'!E36)*1000</f>
        <v>484.77318565236294</v>
      </c>
      <c r="F36" s="84">
        <f>(F21/'SHEET-4'!F36)*1000</f>
        <v>561.07630979498845</v>
      </c>
      <c r="G36" s="84">
        <f>(G21/'SHEET-4'!G36)*1000</f>
        <v>448.046168422866</v>
      </c>
      <c r="H36" s="75">
        <f>(D36-F36)/F36</f>
        <v>6.2368309891439815E-2</v>
      </c>
      <c r="I36" s="133">
        <f t="shared" si="9"/>
        <v>8.1971501639612226E-2</v>
      </c>
      <c r="J36" s="40"/>
      <c r="K36" s="40"/>
      <c r="L36" s="119"/>
      <c r="M36" s="119"/>
      <c r="N36" s="89"/>
      <c r="O36" s="89"/>
      <c r="P36" s="72"/>
      <c r="R36" s="72"/>
    </row>
    <row r="37" spans="1:18" ht="24" customHeight="1" thickBot="1">
      <c r="A37" s="52">
        <v>9</v>
      </c>
      <c r="B37" s="53" t="s">
        <v>10</v>
      </c>
      <c r="C37" s="30" t="s">
        <v>20</v>
      </c>
      <c r="D37" s="84">
        <f>(D22/'SHEET-4'!D37)*1000</f>
        <v>625.49803370907489</v>
      </c>
      <c r="E37" s="84">
        <f>(E22/'SHEET-4'!E37)*1000</f>
        <v>605.30516537193171</v>
      </c>
      <c r="F37" s="84">
        <f>(F22/'SHEET-4'!F37)*1000</f>
        <v>611.40594335350067</v>
      </c>
      <c r="G37" s="84">
        <f>(G22/'SHEET-4'!G37)*1000</f>
        <v>592.99721304991681</v>
      </c>
      <c r="H37" s="75">
        <f>(D37-F37)/F37</f>
        <v>2.3048664326487413E-2</v>
      </c>
      <c r="I37" s="133">
        <f t="shared" si="9"/>
        <v>2.0755497751350899E-2</v>
      </c>
      <c r="J37" s="40"/>
      <c r="K37" s="40"/>
      <c r="L37" s="119"/>
      <c r="M37" s="119"/>
      <c r="N37" s="89"/>
      <c r="O37" s="89"/>
      <c r="P37" s="72"/>
      <c r="R37" s="72"/>
    </row>
    <row r="38" spans="1:18" ht="21.6" customHeight="1" thickBot="1">
      <c r="A38" s="52">
        <v>10</v>
      </c>
      <c r="B38" s="53" t="s">
        <v>5</v>
      </c>
      <c r="C38" s="30" t="s">
        <v>20</v>
      </c>
      <c r="D38" s="84">
        <f>(D23/'SHEET-4'!D38)*1000</f>
        <v>224.63163488386178</v>
      </c>
      <c r="E38" s="84">
        <f>(E23/'SHEET-4'!E38)*1000</f>
        <v>242.59357358882059</v>
      </c>
      <c r="F38" s="84">
        <f>(F23/'SHEET-4'!F38)*1000</f>
        <v>204.98965279374571</v>
      </c>
      <c r="G38" s="84">
        <f>(G23/'SHEET-4'!G38)*1000</f>
        <v>206.0511342824351</v>
      </c>
      <c r="H38" s="75">
        <f>(D38-F38)/F38</f>
        <v>9.58193831855466E-2</v>
      </c>
      <c r="I38" s="133">
        <f t="shared" si="9"/>
        <v>0.17734646030289075</v>
      </c>
      <c r="J38" s="40"/>
      <c r="K38" s="40"/>
      <c r="L38" s="119"/>
      <c r="M38" s="119"/>
      <c r="N38" s="89"/>
      <c r="O38" s="89"/>
      <c r="P38" s="72"/>
      <c r="R38" s="72"/>
    </row>
    <row r="39" spans="1:18" ht="24" customHeight="1" thickBot="1">
      <c r="A39" s="52">
        <v>11</v>
      </c>
      <c r="B39" s="53" t="s">
        <v>11</v>
      </c>
      <c r="C39" s="30" t="s">
        <v>20</v>
      </c>
      <c r="D39" s="84">
        <f>(D24/'SHEET-4'!D39)*1000</f>
        <v>498.81786243012112</v>
      </c>
      <c r="E39" s="84">
        <f>(E24/'SHEET-4'!E39)*1000</f>
        <v>522.92954254225401</v>
      </c>
      <c r="F39" s="84">
        <f>(F24/'SHEET-4'!F39)*1000</f>
        <v>475.02758423801919</v>
      </c>
      <c r="G39" s="84">
        <f>(G24/'SHEET-4'!G39)*1000</f>
        <v>507.76441225882451</v>
      </c>
      <c r="H39" s="75">
        <f>(D39-F39)/F39</f>
        <v>5.0081887834499912E-2</v>
      </c>
      <c r="I39" s="133">
        <f t="shared" si="9"/>
        <v>2.9866469404514571E-2</v>
      </c>
      <c r="J39" s="40"/>
      <c r="K39" s="40"/>
      <c r="L39" s="119"/>
      <c r="M39" s="119"/>
      <c r="N39" s="89"/>
      <c r="O39" s="89"/>
      <c r="P39" s="72"/>
      <c r="R39" s="72"/>
    </row>
    <row r="40" spans="1:18" ht="31.5" customHeight="1" thickBot="1">
      <c r="A40" s="54">
        <v>12</v>
      </c>
      <c r="B40" s="55" t="s">
        <v>12</v>
      </c>
      <c r="C40" s="31" t="s">
        <v>20</v>
      </c>
      <c r="D40" s="84">
        <f>(D25/'SHEET-4'!D40)*1000</f>
        <v>564.60365488582545</v>
      </c>
      <c r="E40" s="84">
        <f>(E25/'SHEET-4'!E40)*1000</f>
        <v>581.02000462618025</v>
      </c>
      <c r="F40" s="84">
        <f>(F25/'SHEET-4'!F40)*1000</f>
        <v>545.1422085434267</v>
      </c>
      <c r="G40" s="84">
        <f>(G25/'SHEET-4'!G40)*1000</f>
        <v>569.37133990959876</v>
      </c>
      <c r="H40" s="134">
        <f>(D40-F40)/F40</f>
        <v>3.5699760608150416E-2</v>
      </c>
      <c r="I40" s="135">
        <f t="shared" si="9"/>
        <v>2.0458818173796727E-2</v>
      </c>
      <c r="J40" s="40"/>
      <c r="K40" s="40"/>
      <c r="L40" s="119"/>
      <c r="M40" s="119"/>
      <c r="N40" s="89"/>
      <c r="O40" s="89"/>
      <c r="P40" s="72"/>
      <c r="R40" s="72"/>
    </row>
    <row r="41" spans="1:18" ht="23.25">
      <c r="A41" s="40"/>
      <c r="B41" s="40"/>
      <c r="C41" s="40"/>
      <c r="D41" s="121"/>
      <c r="E41" s="121"/>
      <c r="F41" s="121"/>
      <c r="G41" s="121"/>
      <c r="H41" s="121"/>
      <c r="I41" s="121"/>
      <c r="J41" s="40"/>
      <c r="P41" s="72"/>
    </row>
    <row r="42" spans="1:18" ht="23.25">
      <c r="A42" s="40"/>
      <c r="B42" s="40"/>
      <c r="C42" s="40"/>
      <c r="D42" s="129"/>
      <c r="E42" s="129"/>
      <c r="F42" s="121"/>
      <c r="G42" s="121"/>
      <c r="H42" s="121"/>
      <c r="I42" s="121"/>
      <c r="J42" s="40"/>
      <c r="P42" s="72"/>
    </row>
    <row r="43" spans="1:18" ht="12.75" customHeight="1">
      <c r="A43" s="292" t="s">
        <v>138</v>
      </c>
      <c r="B43" s="292"/>
      <c r="C43" s="40"/>
      <c r="D43" s="121"/>
      <c r="E43" s="121"/>
      <c r="F43" s="121"/>
      <c r="G43" s="121"/>
      <c r="H43" s="121"/>
      <c r="I43" s="121"/>
      <c r="J43" s="40"/>
      <c r="P43" s="72"/>
    </row>
    <row r="44" spans="1:18" ht="23.25">
      <c r="A44" s="40"/>
      <c r="B44" s="40"/>
      <c r="C44" s="40"/>
      <c r="D44" s="40"/>
      <c r="E44" s="40"/>
      <c r="F44" s="40"/>
      <c r="G44" s="40"/>
      <c r="H44" s="40"/>
      <c r="I44" s="40"/>
      <c r="J44" s="40"/>
      <c r="P44" s="72"/>
    </row>
    <row r="45" spans="1:18">
      <c r="A45" s="40"/>
      <c r="B45" s="40"/>
      <c r="C45" s="40"/>
      <c r="D45" s="40"/>
      <c r="E45" s="40"/>
      <c r="F45" s="40"/>
      <c r="G45" s="40"/>
      <c r="H45" s="40"/>
      <c r="I45" s="40"/>
      <c r="J45" s="40"/>
    </row>
    <row r="46" spans="1:18">
      <c r="A46" s="40"/>
      <c r="B46" s="40"/>
      <c r="C46" s="40"/>
      <c r="D46" s="40"/>
      <c r="E46" s="40"/>
      <c r="F46" s="40"/>
      <c r="G46" s="40"/>
      <c r="H46" s="40"/>
      <c r="I46" s="40"/>
      <c r="J46" s="40"/>
    </row>
    <row r="47" spans="1:18">
      <c r="A47" s="40"/>
      <c r="B47" s="40"/>
      <c r="C47" s="40"/>
      <c r="D47" s="40"/>
      <c r="E47" s="40"/>
      <c r="F47" s="40"/>
      <c r="G47" s="40"/>
      <c r="H47" s="40"/>
      <c r="I47" s="40"/>
      <c r="J47" s="40"/>
    </row>
    <row r="48" spans="1:18">
      <c r="A48" s="40"/>
      <c r="B48" s="40"/>
      <c r="C48" s="40"/>
      <c r="D48" s="40"/>
      <c r="E48" s="40"/>
      <c r="F48" s="40"/>
      <c r="G48" s="40"/>
      <c r="H48" s="40"/>
      <c r="I48" s="40"/>
      <c r="J48" s="40"/>
    </row>
    <row r="49" spans="1:10" ht="26.25">
      <c r="A49" s="40"/>
      <c r="B49" s="40"/>
      <c r="C49" s="40"/>
      <c r="D49" s="64"/>
      <c r="E49" s="40"/>
      <c r="F49" s="102"/>
      <c r="G49" s="102"/>
      <c r="H49" s="40"/>
      <c r="I49" s="40"/>
      <c r="J49" s="40"/>
    </row>
    <row r="50" spans="1:10" ht="26.25">
      <c r="A50" s="40"/>
      <c r="B50" s="40"/>
      <c r="C50" s="40"/>
      <c r="D50" s="64"/>
      <c r="E50" s="40"/>
      <c r="F50" s="102"/>
      <c r="G50" s="102"/>
      <c r="H50" s="40"/>
      <c r="I50" s="40"/>
      <c r="J50" s="40"/>
    </row>
    <row r="51" spans="1:10" ht="26.25">
      <c r="A51" s="40"/>
      <c r="B51" s="40"/>
      <c r="C51" s="40"/>
      <c r="D51" s="65"/>
      <c r="E51" s="40"/>
      <c r="F51" s="102"/>
      <c r="G51" s="102"/>
      <c r="H51" s="40"/>
      <c r="I51" s="40"/>
      <c r="J51" s="40"/>
    </row>
    <row r="52" spans="1:10" ht="23.25">
      <c r="A52" s="40"/>
      <c r="B52" s="40"/>
      <c r="C52" s="40"/>
      <c r="D52" s="40"/>
      <c r="E52" s="40"/>
      <c r="F52" s="102"/>
      <c r="G52" s="102"/>
      <c r="H52" s="40"/>
      <c r="I52" s="40"/>
      <c r="J52" s="40"/>
    </row>
    <row r="53" spans="1:10" ht="23.25">
      <c r="A53" s="40"/>
      <c r="B53" s="40"/>
      <c r="C53" s="40"/>
      <c r="D53" s="40"/>
      <c r="E53" s="40"/>
      <c r="F53" s="102"/>
      <c r="G53" s="102"/>
      <c r="H53" s="40"/>
      <c r="I53" s="40"/>
      <c r="J53" s="40"/>
    </row>
    <row r="54" spans="1:10" ht="23.25">
      <c r="A54" s="40"/>
      <c r="B54" s="40"/>
      <c r="C54" s="40"/>
      <c r="D54" s="40"/>
      <c r="E54" s="40"/>
      <c r="F54" s="102"/>
      <c r="G54" s="102"/>
      <c r="H54" s="40"/>
      <c r="I54" s="40"/>
      <c r="J54" s="40"/>
    </row>
    <row r="55" spans="1:10" ht="23.25">
      <c r="A55" s="40"/>
      <c r="B55" s="40"/>
      <c r="C55" s="40"/>
      <c r="D55" s="40"/>
      <c r="E55" s="40"/>
      <c r="F55" s="102"/>
      <c r="G55" s="102"/>
      <c r="H55" s="40"/>
      <c r="I55" s="40"/>
      <c r="J55" s="40"/>
    </row>
    <row r="56" spans="1:10" ht="23.25">
      <c r="A56" s="40"/>
      <c r="B56" s="40"/>
      <c r="C56" s="40"/>
      <c r="D56" s="40"/>
      <c r="E56" s="40"/>
      <c r="F56" s="102"/>
      <c r="G56" s="102"/>
      <c r="H56" s="40"/>
      <c r="I56" s="40"/>
      <c r="J56" s="40"/>
    </row>
    <row r="57" spans="1:10" ht="23.25">
      <c r="A57" s="40"/>
      <c r="B57" s="40"/>
      <c r="C57" s="40"/>
      <c r="D57" s="40"/>
      <c r="E57" s="40"/>
      <c r="F57" s="102"/>
      <c r="G57" s="102"/>
      <c r="H57" s="40"/>
      <c r="I57" s="40"/>
      <c r="J57" s="40"/>
    </row>
    <row r="58" spans="1:10" ht="23.25">
      <c r="A58" s="40"/>
      <c r="B58" s="40"/>
      <c r="C58" s="40"/>
      <c r="D58" s="40"/>
      <c r="E58" s="40"/>
      <c r="F58" s="102"/>
      <c r="G58" s="102"/>
      <c r="H58" s="40"/>
      <c r="I58" s="40"/>
      <c r="J58" s="40"/>
    </row>
    <row r="59" spans="1:10" ht="23.25">
      <c r="A59" s="40"/>
      <c r="B59" s="40"/>
      <c r="C59" s="40"/>
      <c r="D59" s="40"/>
      <c r="E59" s="40"/>
      <c r="F59" s="102"/>
      <c r="G59" s="102"/>
      <c r="H59" s="40"/>
      <c r="I59" s="40"/>
      <c r="J59" s="40"/>
    </row>
    <row r="60" spans="1:10" ht="23.25">
      <c r="F60" s="102"/>
      <c r="G60" s="102"/>
    </row>
    <row r="61" spans="1:10" ht="23.25">
      <c r="F61" s="102"/>
      <c r="G61" s="102"/>
    </row>
    <row r="62" spans="1:10" ht="23.25">
      <c r="F62" s="102"/>
      <c r="G62" s="102"/>
    </row>
  </sheetData>
  <mergeCells count="25">
    <mergeCell ref="J19:J20"/>
    <mergeCell ref="K19:K20"/>
    <mergeCell ref="A43:B43"/>
    <mergeCell ref="E34:E35"/>
    <mergeCell ref="F34:F35"/>
    <mergeCell ref="G34:G35"/>
    <mergeCell ref="D34:D35"/>
    <mergeCell ref="H34:H35"/>
    <mergeCell ref="I34:I35"/>
    <mergeCell ref="H12:H13"/>
    <mergeCell ref="I12:I13"/>
    <mergeCell ref="D13:E13"/>
    <mergeCell ref="F13:G13"/>
    <mergeCell ref="E19:E20"/>
    <mergeCell ref="F19:F20"/>
    <mergeCell ref="G19:G20"/>
    <mergeCell ref="H19:H20"/>
    <mergeCell ref="I19:I20"/>
    <mergeCell ref="D19:D20"/>
    <mergeCell ref="A5:I5"/>
    <mergeCell ref="A7:I7"/>
    <mergeCell ref="A9:I9"/>
    <mergeCell ref="D11:E11"/>
    <mergeCell ref="F11:G11"/>
    <mergeCell ref="H11:I11"/>
  </mergeCells>
  <printOptions horizontalCentered="1" verticalCentered="1"/>
  <pageMargins left="0.25" right="0.25" top="0.25" bottom="0.25" header="0.5" footer="0.5"/>
  <pageSetup paperSize="9" scale="58" orientation="landscape" r:id="rId1"/>
  <headerFooter alignWithMargins="0"/>
</worksheet>
</file>

<file path=xl/worksheets/sheet6.xml><?xml version="1.0" encoding="utf-8"?>
<worksheet xmlns="http://schemas.openxmlformats.org/spreadsheetml/2006/main" xmlns:r="http://schemas.openxmlformats.org/officeDocument/2006/relationships">
  <sheetPr>
    <tabColor rgb="FFFF0000"/>
  </sheetPr>
  <dimension ref="A2:P62"/>
  <sheetViews>
    <sheetView view="pageBreakPreview" topLeftCell="A4" zoomScale="60" zoomScaleNormal="70" workbookViewId="0">
      <selection activeCell="G33" sqref="G33"/>
    </sheetView>
  </sheetViews>
  <sheetFormatPr defaultRowHeight="12.75"/>
  <cols>
    <col min="1" max="1" width="8" customWidth="1"/>
    <col min="2" max="2" width="65.85546875" customWidth="1"/>
    <col min="3" max="3" width="22" customWidth="1"/>
    <col min="4" max="4" width="24.140625" customWidth="1"/>
    <col min="5" max="5" width="25.5703125" customWidth="1"/>
    <col min="6" max="6" width="24.140625" customWidth="1"/>
    <col min="7" max="7" width="25.5703125" customWidth="1"/>
    <col min="8" max="9" width="21.85546875" bestFit="1" customWidth="1"/>
    <col min="14" max="14" width="39.42578125" customWidth="1"/>
  </cols>
  <sheetData>
    <row r="2" spans="1:10" ht="30">
      <c r="I2" s="136" t="s">
        <v>22</v>
      </c>
    </row>
    <row r="5" spans="1:10" ht="30">
      <c r="A5" s="314" t="s">
        <v>0</v>
      </c>
      <c r="B5" s="314"/>
      <c r="C5" s="314"/>
      <c r="D5" s="314"/>
      <c r="E5" s="314"/>
      <c r="F5" s="314"/>
      <c r="G5" s="314"/>
      <c r="H5" s="314"/>
      <c r="I5" s="314"/>
      <c r="J5" s="40"/>
    </row>
    <row r="6" spans="1:10" ht="8.25" customHeight="1">
      <c r="A6" s="40"/>
      <c r="B6" s="40"/>
      <c r="C6" s="40"/>
      <c r="D6" s="40"/>
      <c r="E6" s="40"/>
      <c r="F6" s="40"/>
      <c r="G6" s="40"/>
      <c r="H6" s="40"/>
      <c r="I6" s="40"/>
      <c r="J6" s="40"/>
    </row>
    <row r="7" spans="1:10" ht="30">
      <c r="A7" s="301" t="s">
        <v>19</v>
      </c>
      <c r="B7" s="301"/>
      <c r="C7" s="301"/>
      <c r="D7" s="301"/>
      <c r="E7" s="301"/>
      <c r="F7" s="301"/>
      <c r="G7" s="301"/>
      <c r="H7" s="301"/>
      <c r="I7" s="301"/>
      <c r="J7" s="40"/>
    </row>
    <row r="8" spans="1:10" ht="8.25" customHeight="1">
      <c r="A8" s="40"/>
      <c r="B8" s="40"/>
      <c r="C8" s="40"/>
      <c r="D8" s="40"/>
      <c r="E8" s="40"/>
      <c r="F8" s="40"/>
      <c r="G8" s="40"/>
      <c r="H8" s="40"/>
      <c r="I8" s="40"/>
      <c r="J8" s="40"/>
    </row>
    <row r="9" spans="1:10" ht="27.75">
      <c r="A9" s="315" t="s">
        <v>41</v>
      </c>
      <c r="B9" s="315"/>
      <c r="C9" s="315"/>
      <c r="D9" s="315"/>
      <c r="E9" s="315"/>
      <c r="F9" s="315"/>
      <c r="G9" s="315"/>
      <c r="H9" s="315"/>
      <c r="I9" s="315"/>
      <c r="J9" s="40"/>
    </row>
    <row r="10" spans="1:10" ht="13.5" thickBot="1">
      <c r="A10" s="40"/>
      <c r="B10" s="40"/>
      <c r="C10" s="40"/>
      <c r="D10" s="40"/>
      <c r="E10" s="40"/>
      <c r="F10" s="40"/>
      <c r="G10" s="40"/>
      <c r="H10" s="40"/>
      <c r="I10" s="40"/>
      <c r="J10" s="40"/>
    </row>
    <row r="11" spans="1:10" ht="18">
      <c r="A11" s="50"/>
      <c r="B11" s="137"/>
      <c r="C11" s="137"/>
      <c r="D11" s="309" t="s">
        <v>137</v>
      </c>
      <c r="E11" s="309"/>
      <c r="F11" s="309" t="s">
        <v>67</v>
      </c>
      <c r="G11" s="309"/>
      <c r="H11" s="309" t="s">
        <v>16</v>
      </c>
      <c r="I11" s="323"/>
      <c r="J11" s="40"/>
    </row>
    <row r="12" spans="1:10" ht="18">
      <c r="A12" s="51"/>
      <c r="B12" s="139"/>
      <c r="C12" s="139"/>
      <c r="D12" s="139" t="s">
        <v>14</v>
      </c>
      <c r="E12" s="138" t="s">
        <v>15</v>
      </c>
      <c r="F12" s="139" t="s">
        <v>14</v>
      </c>
      <c r="G12" s="139" t="s">
        <v>15</v>
      </c>
      <c r="H12" s="324" t="s">
        <v>14</v>
      </c>
      <c r="I12" s="325" t="s">
        <v>15</v>
      </c>
      <c r="J12" s="40"/>
    </row>
    <row r="13" spans="1:10" ht="27" customHeight="1">
      <c r="A13" s="51" t="s">
        <v>39</v>
      </c>
      <c r="B13" s="59" t="s">
        <v>40</v>
      </c>
      <c r="C13" s="139"/>
      <c r="D13" s="306" t="str">
        <f>+'SHEET-5'!D13:E13</f>
        <v>Jan-2019 to Mar-2019(Provisinal)</v>
      </c>
      <c r="E13" s="306"/>
      <c r="F13" s="306" t="str">
        <f>+'SHEET-5'!F13:G13</f>
        <v>Jan-2018 to Mar-2018</v>
      </c>
      <c r="G13" s="306"/>
      <c r="H13" s="324"/>
      <c r="I13" s="325"/>
      <c r="J13" s="40"/>
    </row>
    <row r="14" spans="1:10" ht="23.25">
      <c r="A14" s="51">
        <v>1</v>
      </c>
      <c r="B14" s="59" t="s">
        <v>4</v>
      </c>
      <c r="C14" s="139" t="s">
        <v>36</v>
      </c>
      <c r="D14" s="172">
        <v>88.250798678009701</v>
      </c>
      <c r="E14" s="172">
        <v>84.889516020955924</v>
      </c>
      <c r="F14" s="85">
        <v>83.95</v>
      </c>
      <c r="G14" s="85">
        <v>84.02</v>
      </c>
      <c r="H14" s="75">
        <f>(D14-F14)/F14</f>
        <v>5.1230478594516952E-2</v>
      </c>
      <c r="I14" s="133">
        <f>(E14-G14)/G14</f>
        <v>1.0348917173957721E-2</v>
      </c>
      <c r="J14" s="40"/>
    </row>
    <row r="15" spans="1:10" ht="23.25">
      <c r="A15" s="51">
        <v>2</v>
      </c>
      <c r="B15" s="59" t="s">
        <v>83</v>
      </c>
      <c r="C15" s="139" t="s">
        <v>36</v>
      </c>
      <c r="D15" s="172">
        <v>0</v>
      </c>
      <c r="E15" s="172">
        <v>0</v>
      </c>
      <c r="F15" s="85">
        <v>0</v>
      </c>
      <c r="G15" s="85">
        <v>0</v>
      </c>
      <c r="H15" s="75">
        <v>0</v>
      </c>
      <c r="I15" s="133">
        <v>0</v>
      </c>
      <c r="J15" s="40"/>
    </row>
    <row r="16" spans="1:10" ht="23.25">
      <c r="A16" s="51">
        <v>3</v>
      </c>
      <c r="B16" s="59" t="s">
        <v>7</v>
      </c>
      <c r="C16" s="139" t="s">
        <v>36</v>
      </c>
      <c r="D16" s="172">
        <v>0</v>
      </c>
      <c r="E16" s="172">
        <v>0</v>
      </c>
      <c r="F16" s="85">
        <v>0</v>
      </c>
      <c r="G16" s="85">
        <v>0</v>
      </c>
      <c r="H16" s="75">
        <v>0</v>
      </c>
      <c r="I16" s="133">
        <v>0</v>
      </c>
      <c r="J16" s="40"/>
    </row>
    <row r="17" spans="1:16" ht="23.25">
      <c r="A17" s="51">
        <v>4</v>
      </c>
      <c r="B17" s="59" t="s">
        <v>8</v>
      </c>
      <c r="C17" s="139" t="s">
        <v>36</v>
      </c>
      <c r="D17" s="172">
        <v>88.250798678009701</v>
      </c>
      <c r="E17" s="172">
        <v>84.889516020955924</v>
      </c>
      <c r="F17" s="85">
        <v>83.95</v>
      </c>
      <c r="G17" s="85">
        <v>84.02</v>
      </c>
      <c r="H17" s="75">
        <f t="shared" ref="H17:I25" si="0">(D17-F17)/F17</f>
        <v>5.1230478594516952E-2</v>
      </c>
      <c r="I17" s="133">
        <f t="shared" si="0"/>
        <v>1.0348917173957721E-2</v>
      </c>
      <c r="J17" s="40"/>
    </row>
    <row r="18" spans="1:16" ht="23.25">
      <c r="A18" s="51">
        <v>5</v>
      </c>
      <c r="B18" s="59" t="s">
        <v>2</v>
      </c>
      <c r="C18" s="139" t="s">
        <v>36</v>
      </c>
      <c r="D18" s="173">
        <v>28.755454947500812</v>
      </c>
      <c r="E18" s="173">
        <v>19.331706717191562</v>
      </c>
      <c r="F18" s="93">
        <v>30.09</v>
      </c>
      <c r="G18" s="93">
        <v>19.87</v>
      </c>
      <c r="H18" s="75">
        <f t="shared" si="0"/>
        <v>-4.4351779744074032E-2</v>
      </c>
      <c r="I18" s="133">
        <f t="shared" si="0"/>
        <v>-2.7090754041692967E-2</v>
      </c>
      <c r="J18" s="40"/>
    </row>
    <row r="19" spans="1:16" ht="18" customHeight="1">
      <c r="A19" s="51">
        <v>6</v>
      </c>
      <c r="B19" s="59" t="s">
        <v>3</v>
      </c>
      <c r="C19" s="139" t="s">
        <v>36</v>
      </c>
      <c r="D19" s="319">
        <v>86.032251350708705</v>
      </c>
      <c r="E19" s="319">
        <v>77.375419738687199</v>
      </c>
      <c r="F19" s="330">
        <v>94.39</v>
      </c>
      <c r="G19" s="330">
        <v>84</v>
      </c>
      <c r="H19" s="283">
        <f>(D19-F19)/F19</f>
        <v>-8.8544852731129303E-2</v>
      </c>
      <c r="I19" s="286">
        <f t="shared" si="0"/>
        <v>-7.8864050729914287E-2</v>
      </c>
      <c r="J19" s="40"/>
    </row>
    <row r="20" spans="1:16" ht="18" customHeight="1">
      <c r="A20" s="51">
        <v>7</v>
      </c>
      <c r="B20" s="59" t="s">
        <v>1</v>
      </c>
      <c r="C20" s="139" t="s">
        <v>36</v>
      </c>
      <c r="D20" s="320"/>
      <c r="E20" s="320"/>
      <c r="F20" s="331"/>
      <c r="G20" s="331"/>
      <c r="H20" s="284"/>
      <c r="I20" s="287"/>
      <c r="J20" s="40"/>
      <c r="P20" s="7"/>
    </row>
    <row r="21" spans="1:16" ht="23.25">
      <c r="A21" s="51">
        <v>8</v>
      </c>
      <c r="B21" s="59" t="s">
        <v>9</v>
      </c>
      <c r="C21" s="139" t="s">
        <v>36</v>
      </c>
      <c r="D21" s="173">
        <v>3.2464497493996367</v>
      </c>
      <c r="E21" s="173">
        <v>3.2586505119144009</v>
      </c>
      <c r="F21" s="93">
        <v>3.29</v>
      </c>
      <c r="G21" s="93">
        <v>3.18</v>
      </c>
      <c r="H21" s="75">
        <f t="shared" si="0"/>
        <v>-1.3237158237192501E-2</v>
      </c>
      <c r="I21" s="133">
        <f t="shared" si="0"/>
        <v>2.4732865381887029E-2</v>
      </c>
      <c r="J21" s="133"/>
    </row>
    <row r="22" spans="1:16" ht="23.25">
      <c r="A22" s="51">
        <v>9</v>
      </c>
      <c r="B22" s="59" t="s">
        <v>10</v>
      </c>
      <c r="C22" s="139" t="s">
        <v>36</v>
      </c>
      <c r="D22" s="172">
        <v>49.881554981796604</v>
      </c>
      <c r="E22" s="172">
        <v>38.542408350361519</v>
      </c>
      <c r="F22" s="85">
        <v>54.5</v>
      </c>
      <c r="G22" s="85">
        <v>41.46</v>
      </c>
      <c r="H22" s="75">
        <f t="shared" ref="H22:H25" si="1">(D22-F22)/F22</f>
        <v>-8.4742110425750375E-2</v>
      </c>
      <c r="I22" s="133">
        <f t="shared" si="0"/>
        <v>-7.0371240946417793E-2</v>
      </c>
      <c r="J22" s="40"/>
    </row>
    <row r="23" spans="1:16" ht="23.25">
      <c r="A23" s="51">
        <v>10</v>
      </c>
      <c r="B23" s="59" t="s">
        <v>5</v>
      </c>
      <c r="C23" s="139" t="s">
        <v>36</v>
      </c>
      <c r="D23" s="173">
        <v>25.90005171428902</v>
      </c>
      <c r="E23" s="173">
        <v>28.783332245380876</v>
      </c>
      <c r="F23" s="93">
        <v>28.3</v>
      </c>
      <c r="G23" s="93">
        <v>30.39</v>
      </c>
      <c r="H23" s="75">
        <f t="shared" si="1"/>
        <v>-8.4803826350211317E-2</v>
      </c>
      <c r="I23" s="133">
        <f t="shared" si="0"/>
        <v>-5.2868303870323277E-2</v>
      </c>
      <c r="J23" s="40"/>
    </row>
    <row r="24" spans="1:16" ht="23.25">
      <c r="A24" s="51">
        <v>11</v>
      </c>
      <c r="B24" s="59" t="s">
        <v>11</v>
      </c>
      <c r="C24" s="139" t="s">
        <v>36</v>
      </c>
      <c r="D24" s="172">
        <v>44.77440503622735</v>
      </c>
      <c r="E24" s="172">
        <v>36.999650138761822</v>
      </c>
      <c r="F24" s="85">
        <v>49.29</v>
      </c>
      <c r="G24" s="85">
        <v>39.82</v>
      </c>
      <c r="H24" s="75">
        <f t="shared" si="1"/>
        <v>-9.1612801050368217E-2</v>
      </c>
      <c r="I24" s="133">
        <f t="shared" si="0"/>
        <v>-7.082747014661421E-2</v>
      </c>
      <c r="J24" s="40"/>
    </row>
    <row r="25" spans="1:16" ht="24" thickBot="1">
      <c r="A25" s="60">
        <v>12</v>
      </c>
      <c r="B25" s="61" t="s">
        <v>12</v>
      </c>
      <c r="C25" s="3" t="s">
        <v>36</v>
      </c>
      <c r="D25" s="174">
        <v>68.100398944007395</v>
      </c>
      <c r="E25" s="174">
        <v>60.901733995063999</v>
      </c>
      <c r="F25" s="86">
        <v>68.099999999999994</v>
      </c>
      <c r="G25" s="86">
        <v>61.7</v>
      </c>
      <c r="H25" s="134">
        <f t="shared" si="1"/>
        <v>5.85820862556262E-6</v>
      </c>
      <c r="I25" s="135">
        <f t="shared" si="0"/>
        <v>-1.2937860695883362E-2</v>
      </c>
      <c r="J25" s="40"/>
    </row>
    <row r="26" spans="1:16" ht="8.25" customHeight="1">
      <c r="A26" s="41"/>
      <c r="B26" s="42"/>
      <c r="C26" s="43"/>
      <c r="D26" s="164"/>
      <c r="E26" s="164"/>
      <c r="F26" s="81"/>
      <c r="G26" s="81"/>
      <c r="H26" s="45"/>
      <c r="I26" s="46"/>
      <c r="J26" s="40"/>
    </row>
    <row r="27" spans="1:16" ht="27" customHeight="1">
      <c r="A27" s="29" t="s">
        <v>6</v>
      </c>
      <c r="B27" s="44" t="s">
        <v>104</v>
      </c>
      <c r="C27" s="43"/>
      <c r="D27" s="164"/>
      <c r="E27" s="164"/>
      <c r="F27" s="81"/>
      <c r="G27" s="81"/>
      <c r="H27" s="45"/>
      <c r="I27" s="46"/>
      <c r="J27" s="40"/>
    </row>
    <row r="28" spans="1:16" ht="9" customHeight="1" thickBot="1">
      <c r="A28" s="41"/>
      <c r="B28" s="42"/>
      <c r="C28" s="43"/>
      <c r="D28" s="164"/>
      <c r="E28" s="164"/>
      <c r="F28" s="81"/>
      <c r="G28" s="81"/>
      <c r="H28" s="45"/>
      <c r="I28" s="46"/>
      <c r="J28" s="40"/>
    </row>
    <row r="29" spans="1:16" ht="24" thickBot="1">
      <c r="A29" s="50">
        <v>1</v>
      </c>
      <c r="B29" s="103" t="s">
        <v>4</v>
      </c>
      <c r="C29" s="137" t="s">
        <v>36</v>
      </c>
      <c r="D29" s="175">
        <v>408.476</v>
      </c>
      <c r="E29" s="175">
        <v>408.33499999999998</v>
      </c>
      <c r="F29" s="94">
        <v>404.16</v>
      </c>
      <c r="G29" s="94">
        <v>407.44</v>
      </c>
      <c r="H29" s="141">
        <f>(D29-F29)/F29</f>
        <v>1.0678939034045858E-2</v>
      </c>
      <c r="I29" s="142">
        <f>(E29-G29)/G29</f>
        <v>2.1966424504221032E-3</v>
      </c>
      <c r="J29" s="40"/>
    </row>
    <row r="30" spans="1:16" ht="24" thickBot="1">
      <c r="A30" s="51">
        <v>2</v>
      </c>
      <c r="B30" s="59" t="s">
        <v>83</v>
      </c>
      <c r="C30" s="139" t="s">
        <v>36</v>
      </c>
      <c r="D30" s="175">
        <v>0</v>
      </c>
      <c r="E30" s="175">
        <v>0</v>
      </c>
      <c r="F30" s="79">
        <v>0</v>
      </c>
      <c r="G30" s="79">
        <v>0</v>
      </c>
      <c r="H30" s="75"/>
      <c r="I30" s="133"/>
      <c r="J30" s="40"/>
    </row>
    <row r="31" spans="1:16" ht="24" thickBot="1">
      <c r="A31" s="51">
        <v>3</v>
      </c>
      <c r="B31" s="59" t="s">
        <v>7</v>
      </c>
      <c r="C31" s="139" t="s">
        <v>36</v>
      </c>
      <c r="D31" s="175">
        <v>0</v>
      </c>
      <c r="E31" s="175">
        <v>0</v>
      </c>
      <c r="F31" s="79">
        <v>0</v>
      </c>
      <c r="G31" s="79">
        <v>0</v>
      </c>
      <c r="H31" s="75">
        <v>0</v>
      </c>
      <c r="I31" s="133">
        <v>0</v>
      </c>
      <c r="J31" s="40"/>
    </row>
    <row r="32" spans="1:16" ht="24" thickBot="1">
      <c r="A32" s="51">
        <v>4</v>
      </c>
      <c r="B32" s="59" t="s">
        <v>8</v>
      </c>
      <c r="C32" s="139" t="s">
        <v>36</v>
      </c>
      <c r="D32" s="175">
        <v>408.476</v>
      </c>
      <c r="E32" s="175">
        <v>408.33499999999998</v>
      </c>
      <c r="F32" s="79">
        <v>404.16</v>
      </c>
      <c r="G32" s="79">
        <v>407.44</v>
      </c>
      <c r="H32" s="75">
        <f>(D32-F32)/F32</f>
        <v>1.0678939034045858E-2</v>
      </c>
      <c r="I32" s="133">
        <f t="shared" ref="I32:I40" si="2">(E32-G32)/G32</f>
        <v>2.1966424504221032E-3</v>
      </c>
      <c r="J32" s="40"/>
    </row>
    <row r="33" spans="1:10" ht="23.25">
      <c r="A33" s="51">
        <v>5</v>
      </c>
      <c r="B33" s="59" t="s">
        <v>2</v>
      </c>
      <c r="C33" s="139" t="s">
        <v>36</v>
      </c>
      <c r="D33" s="175">
        <v>398.79599999999999</v>
      </c>
      <c r="E33" s="175">
        <v>390.12</v>
      </c>
      <c r="F33" s="79">
        <v>441.56</v>
      </c>
      <c r="G33" s="79">
        <v>412.74</v>
      </c>
      <c r="H33" s="75">
        <f>(D33-F33)/F33</f>
        <v>-9.6847540538092247E-2</v>
      </c>
      <c r="I33" s="133">
        <f t="shared" si="2"/>
        <v>-5.4804477394970207E-2</v>
      </c>
      <c r="J33" s="40"/>
    </row>
    <row r="34" spans="1:10" ht="18" customHeight="1">
      <c r="A34" s="51">
        <v>6</v>
      </c>
      <c r="B34" s="59" t="s">
        <v>3</v>
      </c>
      <c r="C34" s="139" t="s">
        <v>36</v>
      </c>
      <c r="D34" s="319">
        <v>489.76400000000001</v>
      </c>
      <c r="E34" s="319">
        <v>490.84300000000002</v>
      </c>
      <c r="F34" s="297">
        <v>544.26</v>
      </c>
      <c r="G34" s="297">
        <v>501.92</v>
      </c>
      <c r="H34" s="283">
        <f>(D34-F34)/F34</f>
        <v>-0.1001286150001837</v>
      </c>
      <c r="I34" s="286">
        <f t="shared" si="2"/>
        <v>-2.2069254064392727E-2</v>
      </c>
      <c r="J34" s="40"/>
    </row>
    <row r="35" spans="1:10" ht="18" customHeight="1" thickBot="1">
      <c r="A35" s="51">
        <v>7</v>
      </c>
      <c r="B35" s="59" t="s">
        <v>1</v>
      </c>
      <c r="C35" s="139" t="s">
        <v>36</v>
      </c>
      <c r="D35" s="320"/>
      <c r="E35" s="334" t="e">
        <v>#DIV/0!</v>
      </c>
      <c r="F35" s="299"/>
      <c r="G35" s="299"/>
      <c r="H35" s="284"/>
      <c r="I35" s="287"/>
      <c r="J35" s="40"/>
    </row>
    <row r="36" spans="1:10" ht="24" thickBot="1">
      <c r="A36" s="51">
        <v>8</v>
      </c>
      <c r="B36" s="59" t="s">
        <v>9</v>
      </c>
      <c r="C36" s="139" t="s">
        <v>36</v>
      </c>
      <c r="D36" s="175">
        <v>367.20699999999999</v>
      </c>
      <c r="E36" s="175">
        <v>369.65499999999997</v>
      </c>
      <c r="F36" s="79">
        <v>359.69</v>
      </c>
      <c r="G36" s="79">
        <v>371.61</v>
      </c>
      <c r="H36" s="75">
        <f>(D36-F36)/F36</f>
        <v>2.0898551530484574E-2</v>
      </c>
      <c r="I36" s="133">
        <f t="shared" si="2"/>
        <v>-5.260891795161704E-3</v>
      </c>
      <c r="J36" s="40"/>
    </row>
    <row r="37" spans="1:10" ht="24" thickBot="1">
      <c r="A37" s="51">
        <v>9</v>
      </c>
      <c r="B37" s="59" t="s">
        <v>10</v>
      </c>
      <c r="C37" s="139" t="s">
        <v>36</v>
      </c>
      <c r="D37" s="175">
        <v>427.69600000000003</v>
      </c>
      <c r="E37" s="175">
        <v>422.60899999999998</v>
      </c>
      <c r="F37" s="79">
        <v>477.08</v>
      </c>
      <c r="G37" s="79">
        <v>441.52</v>
      </c>
      <c r="H37" s="75">
        <f t="shared" ref="H37:H40" si="3">(D37-F37)/F37</f>
        <v>-0.10351303764567779</v>
      </c>
      <c r="I37" s="133">
        <f t="shared" si="2"/>
        <v>-4.2831581808298609E-2</v>
      </c>
      <c r="J37" s="40"/>
    </row>
    <row r="38" spans="1:10" ht="24" thickBot="1">
      <c r="A38" s="51">
        <v>10</v>
      </c>
      <c r="B38" s="59" t="s">
        <v>5</v>
      </c>
      <c r="C38" s="139" t="s">
        <v>36</v>
      </c>
      <c r="D38" s="175">
        <v>94.796999999999997</v>
      </c>
      <c r="E38" s="175">
        <v>92.376000000000005</v>
      </c>
      <c r="F38" s="85">
        <v>80.5</v>
      </c>
      <c r="G38" s="85">
        <v>93.17</v>
      </c>
      <c r="H38" s="75">
        <f t="shared" si="3"/>
        <v>0.17760248447204965</v>
      </c>
      <c r="I38" s="133">
        <f t="shared" si="2"/>
        <v>-8.522056455940721E-3</v>
      </c>
      <c r="J38" s="40"/>
    </row>
    <row r="39" spans="1:10" ht="23.25">
      <c r="A39" s="51">
        <v>11</v>
      </c>
      <c r="B39" s="59" t="s">
        <v>11</v>
      </c>
      <c r="C39" s="139" t="s">
        <v>36</v>
      </c>
      <c r="D39" s="176">
        <v>373.44900000000001</v>
      </c>
      <c r="E39" s="176">
        <v>375.274</v>
      </c>
      <c r="F39" s="85">
        <v>398.31</v>
      </c>
      <c r="G39" s="85">
        <v>389.77</v>
      </c>
      <c r="H39" s="75">
        <f t="shared" si="3"/>
        <v>-6.2416208480831487E-2</v>
      </c>
      <c r="I39" s="133">
        <f t="shared" si="2"/>
        <v>-3.7191164019806502E-2</v>
      </c>
      <c r="J39" s="40"/>
    </row>
    <row r="40" spans="1:10" ht="24" thickBot="1">
      <c r="A40" s="60"/>
      <c r="B40" s="61" t="s">
        <v>12</v>
      </c>
      <c r="C40" s="3" t="s">
        <v>36</v>
      </c>
      <c r="D40" s="172">
        <v>390.73700000000002</v>
      </c>
      <c r="E40" s="172">
        <v>391.40600000000001</v>
      </c>
      <c r="F40" s="86">
        <v>401.49</v>
      </c>
      <c r="G40" s="86">
        <v>398.52</v>
      </c>
      <c r="H40" s="134">
        <f t="shared" si="3"/>
        <v>-2.678273431467779E-2</v>
      </c>
      <c r="I40" s="135">
        <f t="shared" si="2"/>
        <v>-1.785104888085912E-2</v>
      </c>
      <c r="J40" s="40"/>
    </row>
    <row r="41" spans="1:10" ht="15.75" customHeight="1">
      <c r="A41" s="41"/>
      <c r="B41" s="42"/>
      <c r="C41" s="43"/>
      <c r="D41" s="81"/>
      <c r="E41" s="81"/>
      <c r="F41" s="81"/>
      <c r="G41" s="81"/>
      <c r="H41" s="45"/>
      <c r="I41" s="46"/>
      <c r="J41" s="40"/>
    </row>
    <row r="42" spans="1:10" ht="20.25">
      <c r="A42" s="29" t="s">
        <v>46</v>
      </c>
      <c r="B42" s="44" t="s">
        <v>37</v>
      </c>
      <c r="C42" s="43"/>
      <c r="D42" s="81"/>
      <c r="E42" s="81"/>
      <c r="F42" s="81"/>
      <c r="G42" s="81"/>
      <c r="H42" s="45"/>
      <c r="I42" s="46"/>
      <c r="J42" s="40"/>
    </row>
    <row r="43" spans="1:10" ht="12" customHeight="1" thickBot="1">
      <c r="A43" s="41"/>
      <c r="B43" s="42"/>
      <c r="C43" s="43"/>
      <c r="D43" s="81"/>
      <c r="E43" s="81"/>
      <c r="F43" s="81"/>
      <c r="G43" s="81"/>
      <c r="H43" s="45"/>
      <c r="I43" s="46"/>
      <c r="J43" s="40"/>
    </row>
    <row r="44" spans="1:10" ht="24" thickBot="1">
      <c r="A44" s="50">
        <v>1</v>
      </c>
      <c r="B44" s="62" t="s">
        <v>4</v>
      </c>
      <c r="C44" s="137" t="s">
        <v>38</v>
      </c>
      <c r="D44" s="145">
        <f>('SHEET-4'!D29/'SHEET-4'!D14)*1000000</f>
        <v>470368.10102899902</v>
      </c>
      <c r="E44" s="145">
        <f>('SHEET-4'!E29/'SHEET-4'!E14)*1000000</f>
        <v>1930821.7960710942</v>
      </c>
      <c r="F44" s="140">
        <f>('SHEET-4'!F29/'SHEET-4'!F14)*1000000</f>
        <v>481190.13062409282</v>
      </c>
      <c r="G44" s="140">
        <f>('SHEET-4'!G29/'SHEET-4'!G14)*1000000</f>
        <v>1791717.4649250121</v>
      </c>
      <c r="H44" s="154">
        <f>(D44-F44)/F44</f>
        <v>-2.249013208366903E-2</v>
      </c>
      <c r="I44" s="154">
        <f>(E44-G44)/G44</f>
        <v>7.7637425469815363E-2</v>
      </c>
      <c r="J44" s="40"/>
    </row>
    <row r="45" spans="1:10" ht="24" thickBot="1">
      <c r="A45" s="51">
        <v>2</v>
      </c>
      <c r="B45" s="59" t="s">
        <v>83</v>
      </c>
      <c r="C45" s="139" t="s">
        <v>38</v>
      </c>
      <c r="D45" s="145">
        <v>0</v>
      </c>
      <c r="E45" s="145">
        <v>0</v>
      </c>
      <c r="F45" s="140">
        <v>0</v>
      </c>
      <c r="G45" s="140">
        <v>0</v>
      </c>
      <c r="H45" s="160" t="e">
        <f t="shared" ref="H45:I49" si="4">(D45-F45)/F45</f>
        <v>#DIV/0!</v>
      </c>
      <c r="I45" s="160" t="e">
        <f t="shared" si="4"/>
        <v>#DIV/0!</v>
      </c>
      <c r="J45" s="40"/>
    </row>
    <row r="46" spans="1:10" ht="24" thickBot="1">
      <c r="A46" s="51">
        <v>3</v>
      </c>
      <c r="B46" s="59" t="s">
        <v>7</v>
      </c>
      <c r="C46" s="139" t="s">
        <v>38</v>
      </c>
      <c r="D46" s="145">
        <v>0</v>
      </c>
      <c r="E46" s="145">
        <v>0</v>
      </c>
      <c r="F46" s="140">
        <v>0</v>
      </c>
      <c r="G46" s="140">
        <v>0</v>
      </c>
      <c r="H46" s="154">
        <v>0</v>
      </c>
      <c r="I46" s="154">
        <v>0</v>
      </c>
      <c r="J46" s="40"/>
    </row>
    <row r="47" spans="1:10" ht="24" thickBot="1">
      <c r="A47" s="51">
        <v>4</v>
      </c>
      <c r="B47" s="59" t="s">
        <v>8</v>
      </c>
      <c r="C47" s="139" t="s">
        <v>38</v>
      </c>
      <c r="D47" s="145">
        <f>('SHEET-4'!D32/'SHEET-4'!D17)*1000000</f>
        <v>470368.10102899902</v>
      </c>
      <c r="E47" s="145">
        <f>('SHEET-4'!E32/'SHEET-4'!E17)*1000000</f>
        <v>1930821.7960710942</v>
      </c>
      <c r="F47" s="140">
        <f>('SHEET-4'!F32/'SHEET-4'!F17)*1000000</f>
        <v>481190.13062409282</v>
      </c>
      <c r="G47" s="140">
        <f>('SHEET-4'!G32/'SHEET-4'!G17)*1000000</f>
        <v>1791717.4649250121</v>
      </c>
      <c r="H47" s="154">
        <f t="shared" si="4"/>
        <v>-2.249013208366903E-2</v>
      </c>
      <c r="I47" s="154">
        <f t="shared" si="4"/>
        <v>7.7637425469815363E-2</v>
      </c>
      <c r="J47" s="40"/>
    </row>
    <row r="48" spans="1:10" ht="24" thickBot="1">
      <c r="A48" s="51">
        <v>5</v>
      </c>
      <c r="B48" s="59" t="s">
        <v>2</v>
      </c>
      <c r="C48" s="139" t="s">
        <v>38</v>
      </c>
      <c r="D48" s="145">
        <f>('SHEET-4'!D33/'SHEET-4'!D18)*1000000</f>
        <v>195.67134350800359</v>
      </c>
      <c r="E48" s="145">
        <f>('SHEET-4'!E33/'SHEET-4'!E18)*1000000</f>
        <v>1009.9426905128056</v>
      </c>
      <c r="F48" s="140">
        <f>('SHEET-4'!F33/'SHEET-4'!F18)*1000000</f>
        <v>190.83441397795249</v>
      </c>
      <c r="G48" s="140">
        <f>('SHEET-4'!G33/'SHEET-4'!G18)*1000000</f>
        <v>967.49155221213618</v>
      </c>
      <c r="H48" s="154">
        <f t="shared" si="4"/>
        <v>2.5346212086305959E-2</v>
      </c>
      <c r="I48" s="154">
        <f t="shared" si="4"/>
        <v>4.3877528649843345E-2</v>
      </c>
      <c r="J48" s="40"/>
    </row>
    <row r="49" spans="1:10" ht="18" customHeight="1">
      <c r="A49" s="51">
        <v>6</v>
      </c>
      <c r="B49" s="59" t="s">
        <v>3</v>
      </c>
      <c r="C49" s="139" t="s">
        <v>38</v>
      </c>
      <c r="D49" s="335">
        <f>('SHEET-4'!D34/'SHEET-4'!D19)*1000000</f>
        <v>993.4541101589756</v>
      </c>
      <c r="E49" s="335">
        <f>('SHEET-4'!E34/'SHEET-4'!E19)*1000000</f>
        <v>4736.173194551905</v>
      </c>
      <c r="F49" s="335">
        <f>('SHEET-4'!F34/'SHEET-4'!F19)*1000000</f>
        <v>985.08374173651521</v>
      </c>
      <c r="G49" s="335">
        <f>('SHEET-4'!G34/'SHEET-4'!G19)*1000000</f>
        <v>4656.7733858532183</v>
      </c>
      <c r="H49" s="332">
        <f t="shared" si="4"/>
        <v>8.4971135628581392E-3</v>
      </c>
      <c r="I49" s="286">
        <f t="shared" si="4"/>
        <v>1.705039135893854E-2</v>
      </c>
      <c r="J49" s="40"/>
    </row>
    <row r="50" spans="1:10" ht="18" customHeight="1" thickBot="1">
      <c r="A50" s="51">
        <v>7</v>
      </c>
      <c r="B50" s="59" t="s">
        <v>1</v>
      </c>
      <c r="C50" s="139" t="s">
        <v>38</v>
      </c>
      <c r="D50" s="336"/>
      <c r="E50" s="336"/>
      <c r="F50" s="336"/>
      <c r="G50" s="336"/>
      <c r="H50" s="333"/>
      <c r="I50" s="287"/>
      <c r="J50" s="40"/>
    </row>
    <row r="51" spans="1:10" ht="24" thickBot="1">
      <c r="A51" s="51">
        <v>8</v>
      </c>
      <c r="B51" s="59" t="s">
        <v>9</v>
      </c>
      <c r="C51" s="139" t="s">
        <v>38</v>
      </c>
      <c r="D51" s="145">
        <f>('SHEET-4'!D36/'SHEET-4'!D21)*1000000</f>
        <v>2412.7619110076398</v>
      </c>
      <c r="E51" s="145">
        <f>('SHEET-4'!E36/'SHEET-4'!E21)*1000000</f>
        <v>11770.731547365314</v>
      </c>
      <c r="F51" s="140">
        <f>('SHEET-4'!F36/'SHEET-4'!F21)*1000000</f>
        <v>2490.8684705131391</v>
      </c>
      <c r="G51" s="140">
        <f>('SHEET-4'!G36/'SHEET-4'!G21)*1000000</f>
        <v>12351.147203801553</v>
      </c>
      <c r="H51" s="154">
        <f>(D51-F51)/F51</f>
        <v>-3.1357159332226277E-2</v>
      </c>
      <c r="I51" s="154">
        <f>(E51-G51)/G51</f>
        <v>-4.6992853931624466E-2</v>
      </c>
      <c r="J51" s="40"/>
    </row>
    <row r="52" spans="1:10" ht="24" thickBot="1">
      <c r="A52" s="51">
        <v>9</v>
      </c>
      <c r="B52" s="59" t="s">
        <v>10</v>
      </c>
      <c r="C52" s="139" t="s">
        <v>38</v>
      </c>
      <c r="D52" s="145">
        <f>('SHEET-4'!D37/'SHEET-4'!D22)*1000000</f>
        <v>309.14054021664595</v>
      </c>
      <c r="E52" s="145">
        <f>('SHEET-4'!E37/'SHEET-4'!E22)*1000000</f>
        <v>1544.0422372985172</v>
      </c>
      <c r="F52" s="140">
        <f>('SHEET-4'!F37/'SHEET-4'!F22)*1000000</f>
        <v>295.47906361345508</v>
      </c>
      <c r="G52" s="140">
        <f>('SHEET-4'!G37/'SHEET-4'!G22)*1000000</f>
        <v>1492.215079029575</v>
      </c>
      <c r="H52" s="154">
        <f t="shared" ref="H52:I52" si="5">(D52-F52)/F52</f>
        <v>4.6235007097026576E-2</v>
      </c>
      <c r="I52" s="154">
        <f t="shared" si="5"/>
        <v>3.473169451058402E-2</v>
      </c>
      <c r="J52" s="40"/>
    </row>
    <row r="53" spans="1:10" ht="24" thickBot="1">
      <c r="A53" s="51">
        <v>10</v>
      </c>
      <c r="B53" s="59" t="s">
        <v>5</v>
      </c>
      <c r="C53" s="139" t="s">
        <v>38</v>
      </c>
      <c r="D53" s="145">
        <f>('SHEET-4'!D38/'SHEET-4'!D23)*1000000</f>
        <v>2587.7889759410382</v>
      </c>
      <c r="E53" s="145">
        <f>('SHEET-4'!E38/'SHEET-4'!E23)*1000000</f>
        <v>8220.3243647505151</v>
      </c>
      <c r="F53" s="140">
        <f>('SHEET-4'!F38/'SHEET-4'!F23)*1000000</f>
        <v>2830.4035716842495</v>
      </c>
      <c r="G53" s="140">
        <f>('SHEET-4'!G38/'SHEET-4'!G23)*1000000</f>
        <v>7995.4833293199617</v>
      </c>
      <c r="H53" s="154">
        <v>0</v>
      </c>
      <c r="I53" s="154">
        <v>0</v>
      </c>
      <c r="J53" s="40"/>
    </row>
    <row r="54" spans="1:10" ht="24" thickBot="1">
      <c r="A54" s="51">
        <v>11</v>
      </c>
      <c r="B54" s="59" t="s">
        <v>11</v>
      </c>
      <c r="C54" s="139" t="s">
        <v>38</v>
      </c>
      <c r="D54" s="145">
        <f>('SHEET-4'!D39/'SHEET-4'!D24)*1000000</f>
        <v>428.32927574491748</v>
      </c>
      <c r="E54" s="145">
        <f>('SHEET-4'!E39/'SHEET-4'!E24)*1000000</f>
        <v>1893.2569789521738</v>
      </c>
      <c r="F54" s="140">
        <f>('SHEET-4'!F39/'SHEET-4'!F24)*1000000</f>
        <v>422.43412249980037</v>
      </c>
      <c r="G54" s="140">
        <f>('SHEET-4'!G39/'SHEET-4'!G24)*1000000</f>
        <v>1817.9142472062465</v>
      </c>
      <c r="H54" s="154">
        <f t="shared" ref="H54:I55" si="6">(D54-F54)/F54</f>
        <v>1.395520137017317E-2</v>
      </c>
      <c r="I54" s="154">
        <f t="shared" si="6"/>
        <v>4.1444601615127481E-2</v>
      </c>
      <c r="J54" s="40"/>
    </row>
    <row r="55" spans="1:10" ht="24" thickBot="1">
      <c r="A55" s="60"/>
      <c r="B55" s="61" t="s">
        <v>12</v>
      </c>
      <c r="C55" s="3" t="s">
        <v>38</v>
      </c>
      <c r="D55" s="94">
        <f>('SHEET-4'!D40/'SHEET-4'!D25)*1000000</f>
        <v>745.08743760480638</v>
      </c>
      <c r="E55" s="94">
        <f>('SHEET-4'!E40/'SHEET-4'!E25)*1000000</f>
        <v>3193.4317994879443</v>
      </c>
      <c r="F55" s="94">
        <f>('SHEET-4'!F40/'SHEET-4'!F25)*1000000</f>
        <v>746.12256650658344</v>
      </c>
      <c r="G55" s="94">
        <f>('SHEET-4'!G40/'SHEET-4'!G25)*1000000</f>
        <v>3023.0072780052064</v>
      </c>
      <c r="H55" s="154">
        <f t="shared" si="6"/>
        <v>-1.3873443161270787E-3</v>
      </c>
      <c r="I55" s="154">
        <f t="shared" si="6"/>
        <v>5.6375822421173928E-2</v>
      </c>
      <c r="J55" s="40"/>
    </row>
    <row r="56" spans="1:10">
      <c r="A56" s="43"/>
      <c r="B56" s="43"/>
      <c r="C56" s="43"/>
      <c r="D56" s="87"/>
      <c r="E56" s="87"/>
      <c r="F56" s="87"/>
      <c r="G56" s="87"/>
      <c r="H56" s="43"/>
      <c r="I56" s="43"/>
      <c r="J56" s="40"/>
    </row>
    <row r="57" spans="1:10">
      <c r="A57" s="40"/>
      <c r="B57" s="40"/>
      <c r="C57" s="40"/>
      <c r="D57" s="40"/>
      <c r="E57" s="40"/>
      <c r="F57" s="40"/>
      <c r="G57" s="40"/>
      <c r="H57" s="40"/>
      <c r="I57" s="40"/>
      <c r="J57" s="40"/>
    </row>
    <row r="58" spans="1:10" ht="12.75" customHeight="1">
      <c r="A58" s="292" t="s">
        <v>138</v>
      </c>
      <c r="B58" s="292"/>
      <c r="C58" s="40"/>
      <c r="D58" s="40"/>
      <c r="E58" s="40"/>
      <c r="F58" s="40"/>
      <c r="G58" s="40"/>
      <c r="H58" s="40"/>
      <c r="I58" s="40"/>
      <c r="J58" s="40"/>
    </row>
    <row r="59" spans="1:10">
      <c r="A59" s="40"/>
      <c r="B59" s="40"/>
      <c r="C59" s="40"/>
      <c r="D59" s="40"/>
      <c r="E59" s="40"/>
      <c r="F59" s="40"/>
      <c r="G59" s="40"/>
      <c r="H59" s="40"/>
      <c r="I59" s="40"/>
      <c r="J59" s="40"/>
    </row>
    <row r="60" spans="1:10">
      <c r="A60" s="40"/>
      <c r="B60" s="40"/>
      <c r="C60" s="40"/>
      <c r="D60" s="40"/>
      <c r="E60" s="40"/>
      <c r="F60" s="40"/>
      <c r="G60" s="40"/>
      <c r="H60" s="40"/>
      <c r="I60" s="40"/>
      <c r="J60" s="40"/>
    </row>
    <row r="61" spans="1:10" ht="26.25">
      <c r="A61" s="40"/>
      <c r="B61" s="40"/>
      <c r="C61" s="40"/>
      <c r="D61" s="64"/>
      <c r="E61" s="40"/>
      <c r="F61" s="40"/>
      <c r="G61" s="40"/>
      <c r="H61" s="40"/>
      <c r="I61" s="40"/>
      <c r="J61" s="40"/>
    </row>
    <row r="62" spans="1:10">
      <c r="A62" s="40"/>
      <c r="B62" s="40"/>
      <c r="C62" s="40"/>
      <c r="D62" s="40"/>
      <c r="E62" s="40"/>
      <c r="F62" s="40"/>
      <c r="G62" s="40"/>
      <c r="H62" s="40"/>
      <c r="I62" s="40"/>
      <c r="J62" s="40"/>
    </row>
  </sheetData>
  <mergeCells count="29">
    <mergeCell ref="A58:B58"/>
    <mergeCell ref="D49:D50"/>
    <mergeCell ref="E49:E50"/>
    <mergeCell ref="F49:F50"/>
    <mergeCell ref="G49:G50"/>
    <mergeCell ref="H49:H50"/>
    <mergeCell ref="I49:I50"/>
    <mergeCell ref="D34:D35"/>
    <mergeCell ref="E34:E35"/>
    <mergeCell ref="F34:F35"/>
    <mergeCell ref="G34:G35"/>
    <mergeCell ref="H34:H35"/>
    <mergeCell ref="I34:I35"/>
    <mergeCell ref="H12:H13"/>
    <mergeCell ref="I12:I13"/>
    <mergeCell ref="D13:E13"/>
    <mergeCell ref="F13:G13"/>
    <mergeCell ref="D19:D20"/>
    <mergeCell ref="E19:E20"/>
    <mergeCell ref="F19:F20"/>
    <mergeCell ref="G19:G20"/>
    <mergeCell ref="H19:H20"/>
    <mergeCell ref="I19:I20"/>
    <mergeCell ref="A5:I5"/>
    <mergeCell ref="A7:I7"/>
    <mergeCell ref="A9:I9"/>
    <mergeCell ref="D11:E11"/>
    <mergeCell ref="F11:G11"/>
    <mergeCell ref="H11:I11"/>
  </mergeCells>
  <printOptions horizontalCentered="1" verticalCentered="1"/>
  <pageMargins left="0.511811023622047" right="0.23622047244094499" top="0.15748031496063" bottom="0" header="0.511811023622047" footer="0.511811023622047"/>
  <pageSetup paperSize="9" scale="45" orientation="landscape" r:id="rId1"/>
  <headerFooter alignWithMargins="0"/>
</worksheet>
</file>

<file path=xl/worksheets/sheet7.xml><?xml version="1.0" encoding="utf-8"?>
<worksheet xmlns="http://schemas.openxmlformats.org/spreadsheetml/2006/main" xmlns:r="http://schemas.openxmlformats.org/officeDocument/2006/relationships">
  <sheetPr>
    <tabColor theme="6" tint="-0.249977111117893"/>
  </sheetPr>
  <dimension ref="A2:P62"/>
  <sheetViews>
    <sheetView view="pageBreakPreview" topLeftCell="A40" zoomScale="60" zoomScaleNormal="70" workbookViewId="0">
      <selection activeCell="E46" sqref="E46"/>
    </sheetView>
  </sheetViews>
  <sheetFormatPr defaultRowHeight="12.75"/>
  <cols>
    <col min="1" max="1" width="8" customWidth="1"/>
    <col min="2" max="2" width="65.85546875" customWidth="1"/>
    <col min="3" max="3" width="22" customWidth="1"/>
    <col min="4" max="4" width="24.140625" customWidth="1"/>
    <col min="5" max="5" width="25.5703125" customWidth="1"/>
    <col min="6" max="6" width="24.140625" customWidth="1"/>
    <col min="7" max="7" width="25.5703125" customWidth="1"/>
    <col min="8" max="9" width="21.85546875" bestFit="1" customWidth="1"/>
    <col min="14" max="14" width="39.42578125" customWidth="1"/>
  </cols>
  <sheetData>
    <row r="2" spans="1:10" ht="30">
      <c r="I2" s="91" t="s">
        <v>22</v>
      </c>
    </row>
    <row r="5" spans="1:10" ht="30">
      <c r="A5" s="314" t="s">
        <v>0</v>
      </c>
      <c r="B5" s="314"/>
      <c r="C5" s="314"/>
      <c r="D5" s="314"/>
      <c r="E5" s="314"/>
      <c r="F5" s="314"/>
      <c r="G5" s="314"/>
      <c r="H5" s="314"/>
      <c r="I5" s="314"/>
      <c r="J5" s="40"/>
    </row>
    <row r="6" spans="1:10" ht="8.25" customHeight="1">
      <c r="A6" s="40"/>
      <c r="B6" s="40"/>
      <c r="C6" s="40"/>
      <c r="D6" s="40"/>
      <c r="E6" s="40"/>
      <c r="F6" s="40"/>
      <c r="G6" s="40"/>
      <c r="H6" s="40"/>
      <c r="I6" s="40"/>
      <c r="J6" s="40"/>
    </row>
    <row r="7" spans="1:10" ht="30">
      <c r="A7" s="301" t="s">
        <v>19</v>
      </c>
      <c r="B7" s="301"/>
      <c r="C7" s="301"/>
      <c r="D7" s="301"/>
      <c r="E7" s="301"/>
      <c r="F7" s="301"/>
      <c r="G7" s="301"/>
      <c r="H7" s="301"/>
      <c r="I7" s="301"/>
      <c r="J7" s="40"/>
    </row>
    <row r="8" spans="1:10" ht="8.25" customHeight="1">
      <c r="A8" s="40"/>
      <c r="B8" s="40"/>
      <c r="C8" s="40"/>
      <c r="D8" s="40"/>
      <c r="E8" s="40"/>
      <c r="F8" s="40"/>
      <c r="G8" s="40"/>
      <c r="H8" s="40"/>
      <c r="I8" s="40"/>
      <c r="J8" s="40"/>
    </row>
    <row r="9" spans="1:10" ht="27.75">
      <c r="A9" s="315" t="s">
        <v>41</v>
      </c>
      <c r="B9" s="315"/>
      <c r="C9" s="315"/>
      <c r="D9" s="315"/>
      <c r="E9" s="315"/>
      <c r="F9" s="315"/>
      <c r="G9" s="315"/>
      <c r="H9" s="315"/>
      <c r="I9" s="315"/>
      <c r="J9" s="40"/>
    </row>
    <row r="10" spans="1:10" ht="13.5" thickBot="1">
      <c r="A10" s="40"/>
      <c r="B10" s="40"/>
      <c r="C10" s="40"/>
      <c r="D10" s="40"/>
      <c r="E10" s="40"/>
      <c r="F10" s="40"/>
      <c r="G10" s="40"/>
      <c r="H10" s="40"/>
      <c r="I10" s="40"/>
      <c r="J10" s="40"/>
    </row>
    <row r="11" spans="1:10" ht="18">
      <c r="A11" s="50"/>
      <c r="B11" s="49"/>
      <c r="C11" s="49"/>
      <c r="D11" s="309" t="s">
        <v>137</v>
      </c>
      <c r="E11" s="309"/>
      <c r="F11" s="309" t="s">
        <v>67</v>
      </c>
      <c r="G11" s="309"/>
      <c r="H11" s="309" t="s">
        <v>16</v>
      </c>
      <c r="I11" s="323"/>
      <c r="J11" s="40"/>
    </row>
    <row r="12" spans="1:10" ht="18">
      <c r="A12" s="51"/>
      <c r="B12" s="2"/>
      <c r="C12" s="2"/>
      <c r="D12" s="115" t="s">
        <v>14</v>
      </c>
      <c r="E12" s="116" t="s">
        <v>15</v>
      </c>
      <c r="F12" s="2" t="s">
        <v>14</v>
      </c>
      <c r="G12" s="2" t="s">
        <v>15</v>
      </c>
      <c r="H12" s="324" t="s">
        <v>14</v>
      </c>
      <c r="I12" s="325" t="s">
        <v>15</v>
      </c>
      <c r="J12" s="40"/>
    </row>
    <row r="13" spans="1:10" ht="27" customHeight="1">
      <c r="A13" s="51" t="s">
        <v>39</v>
      </c>
      <c r="B13" s="59" t="s">
        <v>40</v>
      </c>
      <c r="C13" s="2"/>
      <c r="D13" s="306" t="s">
        <v>141</v>
      </c>
      <c r="E13" s="306"/>
      <c r="F13" s="306" t="s">
        <v>139</v>
      </c>
      <c r="G13" s="306"/>
      <c r="H13" s="324"/>
      <c r="I13" s="325"/>
      <c r="J13" s="40"/>
    </row>
    <row r="14" spans="1:10" ht="23.25">
      <c r="A14" s="51">
        <v>1</v>
      </c>
      <c r="B14" s="59" t="s">
        <v>4</v>
      </c>
      <c r="C14" s="2" t="s">
        <v>36</v>
      </c>
      <c r="D14" s="85">
        <v>83.046000000000006</v>
      </c>
      <c r="E14" s="85">
        <v>82.263000000000005</v>
      </c>
      <c r="F14" s="85">
        <v>82.992000000000004</v>
      </c>
      <c r="G14" s="85">
        <v>79.664000000000001</v>
      </c>
      <c r="H14" s="75">
        <f>(D14-F14)/F14</f>
        <v>6.5066512434935951E-4</v>
      </c>
      <c r="I14" s="133">
        <f>(E14-G14)/G14</f>
        <v>3.2624522996585706E-2</v>
      </c>
      <c r="J14" s="40"/>
    </row>
    <row r="15" spans="1:10" ht="23.25">
      <c r="A15" s="51">
        <v>2</v>
      </c>
      <c r="B15" s="59" t="s">
        <v>83</v>
      </c>
      <c r="C15" s="2" t="s">
        <v>36</v>
      </c>
      <c r="D15" s="85">
        <v>0</v>
      </c>
      <c r="E15" s="85">
        <v>0</v>
      </c>
      <c r="F15" s="85">
        <v>54.078000000000003</v>
      </c>
      <c r="G15" s="85">
        <v>55.072000000000003</v>
      </c>
      <c r="H15" s="75"/>
      <c r="I15" s="133"/>
      <c r="J15" s="40"/>
    </row>
    <row r="16" spans="1:10" ht="23.25">
      <c r="A16" s="51">
        <v>3</v>
      </c>
      <c r="B16" s="59" t="s">
        <v>7</v>
      </c>
      <c r="C16" s="2" t="s">
        <v>36</v>
      </c>
      <c r="D16" s="85">
        <v>0</v>
      </c>
      <c r="E16" s="85">
        <v>0</v>
      </c>
      <c r="F16" s="85">
        <v>0</v>
      </c>
      <c r="G16" s="85">
        <v>0</v>
      </c>
      <c r="H16" s="75">
        <v>0</v>
      </c>
      <c r="I16" s="133">
        <v>0</v>
      </c>
      <c r="J16" s="40"/>
    </row>
    <row r="17" spans="1:16" ht="23.25">
      <c r="A17" s="51">
        <v>4</v>
      </c>
      <c r="B17" s="59" t="s">
        <v>8</v>
      </c>
      <c r="C17" s="2" t="s">
        <v>36</v>
      </c>
      <c r="D17" s="85">
        <v>83.046000000000006</v>
      </c>
      <c r="E17" s="85">
        <v>82.263000000000005</v>
      </c>
      <c r="F17" s="85">
        <v>82.683000000000007</v>
      </c>
      <c r="G17" s="85">
        <v>79.405000000000001</v>
      </c>
      <c r="H17" s="75">
        <f t="shared" ref="H17:I25" si="0">(D17-F17)/F17</f>
        <v>4.3902616015384002E-3</v>
      </c>
      <c r="I17" s="133">
        <f t="shared" si="0"/>
        <v>3.5992695674075988E-2</v>
      </c>
      <c r="J17" s="40"/>
    </row>
    <row r="18" spans="1:16" ht="23.25">
      <c r="A18" s="51">
        <v>5</v>
      </c>
      <c r="B18" s="59" t="s">
        <v>2</v>
      </c>
      <c r="C18" s="2" t="s">
        <v>36</v>
      </c>
      <c r="D18" s="93">
        <v>18.643000000000001</v>
      </c>
      <c r="E18" s="93">
        <v>17.814</v>
      </c>
      <c r="F18" s="93">
        <v>20.236000000000001</v>
      </c>
      <c r="G18" s="93">
        <v>18.193000000000001</v>
      </c>
      <c r="H18" s="75">
        <f t="shared" si="0"/>
        <v>-7.8721091124728207E-2</v>
      </c>
      <c r="I18" s="133">
        <v>0</v>
      </c>
      <c r="J18" s="40"/>
    </row>
    <row r="19" spans="1:16" ht="18" customHeight="1">
      <c r="A19" s="51">
        <v>6</v>
      </c>
      <c r="B19" s="59" t="s">
        <v>3</v>
      </c>
      <c r="C19" s="2" t="s">
        <v>36</v>
      </c>
      <c r="D19" s="330">
        <v>73.855999999999995</v>
      </c>
      <c r="E19" s="330">
        <v>73.906000000000006</v>
      </c>
      <c r="F19" s="330">
        <v>87.367000000000004</v>
      </c>
      <c r="G19" s="330">
        <v>80.548000000000002</v>
      </c>
      <c r="H19" s="283">
        <f>(D19-F19)/F19</f>
        <v>-0.15464649123811061</v>
      </c>
      <c r="I19" s="286">
        <f t="shared" si="0"/>
        <v>-8.2460147986293836E-2</v>
      </c>
      <c r="J19" s="40"/>
    </row>
    <row r="20" spans="1:16" ht="18" customHeight="1">
      <c r="A20" s="51">
        <v>7</v>
      </c>
      <c r="B20" s="59" t="s">
        <v>1</v>
      </c>
      <c r="C20" s="2" t="s">
        <v>36</v>
      </c>
      <c r="D20" s="331"/>
      <c r="E20" s="331"/>
      <c r="F20" s="331"/>
      <c r="G20" s="331"/>
      <c r="H20" s="284"/>
      <c r="I20" s="287"/>
      <c r="J20" s="40"/>
      <c r="P20" s="7"/>
    </row>
    <row r="21" spans="1:16" ht="23.25">
      <c r="A21" s="51">
        <v>8</v>
      </c>
      <c r="B21" s="59" t="s">
        <v>9</v>
      </c>
      <c r="C21" s="2" t="s">
        <v>36</v>
      </c>
      <c r="D21" s="93">
        <v>17.07</v>
      </c>
      <c r="E21" s="93">
        <v>16.358000000000001</v>
      </c>
      <c r="F21" s="93">
        <v>3.2090000000000001</v>
      </c>
      <c r="G21" s="93">
        <v>3.1869999999999998</v>
      </c>
      <c r="H21" s="75"/>
      <c r="I21" s="133"/>
      <c r="J21" s="40"/>
    </row>
    <row r="22" spans="1:16" ht="23.25">
      <c r="A22" s="51">
        <v>9</v>
      </c>
      <c r="B22" s="59" t="s">
        <v>10</v>
      </c>
      <c r="C22" s="2" t="s">
        <v>36</v>
      </c>
      <c r="D22" s="85">
        <v>37.960999999999999</v>
      </c>
      <c r="E22" s="85">
        <v>36.347000000000001</v>
      </c>
      <c r="F22" s="85">
        <v>42.258000000000003</v>
      </c>
      <c r="G22" s="85">
        <v>38.488</v>
      </c>
      <c r="H22" s="75">
        <f t="shared" ref="H22:H25" si="1">(D22-F22)/F22</f>
        <v>-0.1016848880685315</v>
      </c>
      <c r="I22" s="133">
        <f t="shared" si="0"/>
        <v>-5.5627728123051293E-2</v>
      </c>
      <c r="J22" s="40"/>
    </row>
    <row r="23" spans="1:16" ht="23.25">
      <c r="A23" s="51">
        <v>10</v>
      </c>
      <c r="B23" s="59" t="s">
        <v>5</v>
      </c>
      <c r="C23" s="2" t="s">
        <v>36</v>
      </c>
      <c r="D23" s="93">
        <v>31.69</v>
      </c>
      <c r="E23" s="93">
        <v>31.263000000000002</v>
      </c>
      <c r="F23" s="93">
        <v>35.835000000000001</v>
      </c>
      <c r="G23" s="93">
        <v>30.052</v>
      </c>
      <c r="H23" s="75">
        <f t="shared" si="1"/>
        <v>-0.11566903864936513</v>
      </c>
      <c r="I23" s="133">
        <f t="shared" si="0"/>
        <v>4.0296818847331363E-2</v>
      </c>
      <c r="J23" s="40"/>
    </row>
    <row r="24" spans="1:16" ht="23.25">
      <c r="A24" s="51">
        <v>11</v>
      </c>
      <c r="B24" s="59" t="s">
        <v>11</v>
      </c>
      <c r="C24" s="2" t="s">
        <v>36</v>
      </c>
      <c r="D24" s="85">
        <v>37.064999999999998</v>
      </c>
      <c r="E24" s="85">
        <v>35.658999999999999</v>
      </c>
      <c r="F24" s="85">
        <v>41.454000000000001</v>
      </c>
      <c r="G24" s="85">
        <v>37.384</v>
      </c>
      <c r="H24" s="75">
        <f t="shared" si="1"/>
        <v>-0.10587639311043573</v>
      </c>
      <c r="I24" s="133">
        <f t="shared" si="0"/>
        <v>-4.6142734859833119E-2</v>
      </c>
      <c r="J24" s="40"/>
    </row>
    <row r="25" spans="1:16" ht="24" thickBot="1">
      <c r="A25" s="60">
        <v>12</v>
      </c>
      <c r="B25" s="61" t="s">
        <v>12</v>
      </c>
      <c r="C25" s="3" t="s">
        <v>36</v>
      </c>
      <c r="D25" s="86">
        <v>59.27</v>
      </c>
      <c r="E25" s="86">
        <v>58.051000000000002</v>
      </c>
      <c r="F25" s="86">
        <v>62.469000000000001</v>
      </c>
      <c r="G25" s="86">
        <v>58.087000000000003</v>
      </c>
      <c r="H25" s="134">
        <f t="shared" si="1"/>
        <v>-5.1209399862331688E-2</v>
      </c>
      <c r="I25" s="135">
        <f t="shared" si="0"/>
        <v>-6.1976001514971266E-4</v>
      </c>
      <c r="J25" s="40"/>
    </row>
    <row r="26" spans="1:16" ht="8.25" customHeight="1">
      <c r="A26" s="41"/>
      <c r="B26" s="42"/>
      <c r="C26" s="43"/>
      <c r="D26" s="81"/>
      <c r="E26" s="81"/>
      <c r="F26" s="81"/>
      <c r="G26" s="81"/>
      <c r="H26" s="45"/>
      <c r="I26" s="46"/>
      <c r="J26" s="40"/>
    </row>
    <row r="27" spans="1:16" ht="27" customHeight="1">
      <c r="A27" s="29" t="s">
        <v>6</v>
      </c>
      <c r="B27" s="44" t="s">
        <v>104</v>
      </c>
      <c r="C27" s="43"/>
      <c r="D27" s="81"/>
      <c r="E27" s="81"/>
      <c r="F27" s="81"/>
      <c r="G27" s="81"/>
      <c r="H27" s="45"/>
      <c r="I27" s="46"/>
      <c r="J27" s="40"/>
    </row>
    <row r="28" spans="1:16" ht="9" customHeight="1" thickBot="1">
      <c r="A28" s="41"/>
      <c r="B28" s="42"/>
      <c r="C28" s="43"/>
      <c r="D28" s="81"/>
      <c r="E28" s="81"/>
      <c r="F28" s="81"/>
      <c r="G28" s="81"/>
      <c r="H28" s="45"/>
      <c r="I28" s="46"/>
      <c r="J28" s="40"/>
    </row>
    <row r="29" spans="1:16" ht="23.25">
      <c r="A29" s="50">
        <v>1</v>
      </c>
      <c r="B29" s="103" t="s">
        <v>4</v>
      </c>
      <c r="C29" s="49" t="s">
        <v>36</v>
      </c>
      <c r="D29" s="94">
        <v>404.48599999999999</v>
      </c>
      <c r="E29" s="94">
        <v>404.548</v>
      </c>
      <c r="F29" s="94">
        <v>405.30099999999999</v>
      </c>
      <c r="G29" s="94">
        <v>415.32100000000003</v>
      </c>
      <c r="H29" s="141">
        <f>(D29-F29)/F29</f>
        <v>-2.0108511945442962E-3</v>
      </c>
      <c r="I29" s="142">
        <f>(E29-G29)/G29</f>
        <v>-2.5938972505604157E-2</v>
      </c>
      <c r="J29" s="40"/>
    </row>
    <row r="30" spans="1:16" ht="23.25">
      <c r="A30" s="51">
        <v>2</v>
      </c>
      <c r="B30" s="59" t="s">
        <v>83</v>
      </c>
      <c r="C30" s="2" t="s">
        <v>36</v>
      </c>
      <c r="D30" s="79">
        <v>0</v>
      </c>
      <c r="E30" s="79">
        <v>0</v>
      </c>
      <c r="F30" s="79">
        <v>500</v>
      </c>
      <c r="G30" s="79">
        <v>500</v>
      </c>
      <c r="H30" s="75"/>
      <c r="I30" s="133"/>
      <c r="J30" s="40"/>
    </row>
    <row r="31" spans="1:16" ht="23.25">
      <c r="A31" s="51">
        <v>3</v>
      </c>
      <c r="B31" s="59" t="s">
        <v>7</v>
      </c>
      <c r="C31" s="2" t="s">
        <v>36</v>
      </c>
      <c r="D31" s="79">
        <v>0</v>
      </c>
      <c r="E31" s="79">
        <v>0</v>
      </c>
      <c r="F31" s="79">
        <v>0</v>
      </c>
      <c r="G31" s="79">
        <v>0</v>
      </c>
      <c r="H31" s="75">
        <v>0</v>
      </c>
      <c r="I31" s="133">
        <v>0</v>
      </c>
      <c r="J31" s="40"/>
    </row>
    <row r="32" spans="1:16" ht="23.25">
      <c r="A32" s="51">
        <v>4</v>
      </c>
      <c r="B32" s="59" t="s">
        <v>8</v>
      </c>
      <c r="C32" s="2" t="s">
        <v>36</v>
      </c>
      <c r="D32" s="79">
        <v>404.48599999999999</v>
      </c>
      <c r="E32" s="79">
        <v>404.548</v>
      </c>
      <c r="F32" s="79">
        <v>406.31400000000002</v>
      </c>
      <c r="G32" s="79">
        <v>416.21100000000001</v>
      </c>
      <c r="H32" s="75">
        <f>(D32-F32)/F32</f>
        <v>-4.4989835447462583E-3</v>
      </c>
      <c r="I32" s="133">
        <f t="shared" ref="I32:I40" si="2">(E32-G32)/G32</f>
        <v>-2.8021844689352302E-2</v>
      </c>
      <c r="J32" s="40"/>
    </row>
    <row r="33" spans="1:10" ht="23.25">
      <c r="A33" s="51">
        <v>5</v>
      </c>
      <c r="B33" s="59" t="s">
        <v>2</v>
      </c>
      <c r="C33" s="2" t="s">
        <v>36</v>
      </c>
      <c r="D33" s="79">
        <v>408.53500000000003</v>
      </c>
      <c r="E33" s="79">
        <v>406.94200000000001</v>
      </c>
      <c r="F33" s="79">
        <v>373.70800000000003</v>
      </c>
      <c r="G33" s="79">
        <v>388.00599999999997</v>
      </c>
      <c r="H33" s="75">
        <f>(D33-F33)/F33</f>
        <v>9.3193081229194979E-2</v>
      </c>
      <c r="I33" s="133">
        <f t="shared" si="2"/>
        <v>4.8803369020066795E-2</v>
      </c>
      <c r="J33" s="40"/>
    </row>
    <row r="34" spans="1:10" ht="18" customHeight="1">
      <c r="A34" s="51">
        <v>6</v>
      </c>
      <c r="B34" s="59" t="s">
        <v>3</v>
      </c>
      <c r="C34" s="2" t="s">
        <v>36</v>
      </c>
      <c r="D34" s="297">
        <v>509.18400000000003</v>
      </c>
      <c r="E34" s="297">
        <v>489.149</v>
      </c>
      <c r="F34" s="297">
        <v>479.78100000000001</v>
      </c>
      <c r="G34" s="297">
        <v>478.72</v>
      </c>
      <c r="H34" s="283">
        <f>(D34-F34)/F34</f>
        <v>6.1284210921232853E-2</v>
      </c>
      <c r="I34" s="286">
        <f t="shared" si="2"/>
        <v>2.1785177139037378E-2</v>
      </c>
      <c r="J34" s="40"/>
    </row>
    <row r="35" spans="1:10" ht="18" customHeight="1">
      <c r="A35" s="51">
        <v>7</v>
      </c>
      <c r="B35" s="59" t="s">
        <v>1</v>
      </c>
      <c r="C35" s="2" t="s">
        <v>36</v>
      </c>
      <c r="D35" s="299"/>
      <c r="E35" s="299"/>
      <c r="F35" s="299"/>
      <c r="G35" s="299"/>
      <c r="H35" s="284"/>
      <c r="I35" s="287"/>
      <c r="J35" s="40"/>
    </row>
    <row r="36" spans="1:10" ht="23.25">
      <c r="A36" s="51">
        <v>8</v>
      </c>
      <c r="B36" s="59" t="s">
        <v>9</v>
      </c>
      <c r="C36" s="2" t="s">
        <v>36</v>
      </c>
      <c r="D36" s="79">
        <v>381.65800000000002</v>
      </c>
      <c r="E36" s="79">
        <v>382.60199999999998</v>
      </c>
      <c r="F36" s="79">
        <v>385.30799999999999</v>
      </c>
      <c r="G36" s="79">
        <v>383.779</v>
      </c>
      <c r="H36" s="75">
        <f>(D36-F36)/F36</f>
        <v>-9.4729411276173285E-3</v>
      </c>
      <c r="I36" s="133">
        <f t="shared" si="2"/>
        <v>-3.0668692137923673E-3</v>
      </c>
      <c r="J36" s="40"/>
    </row>
    <row r="37" spans="1:10" ht="23.25">
      <c r="A37" s="51">
        <v>9</v>
      </c>
      <c r="B37" s="59" t="s">
        <v>10</v>
      </c>
      <c r="C37" s="2" t="s">
        <v>36</v>
      </c>
      <c r="D37" s="79">
        <v>440.142</v>
      </c>
      <c r="E37" s="79">
        <v>432.46699999999998</v>
      </c>
      <c r="F37" s="79">
        <v>411.197</v>
      </c>
      <c r="G37" s="79">
        <v>418.66899999999998</v>
      </c>
      <c r="H37" s="75">
        <f t="shared" ref="H37:H40" si="3">(D37-F37)/F37</f>
        <v>7.039205052566043E-2</v>
      </c>
      <c r="I37" s="133">
        <f t="shared" si="2"/>
        <v>3.2956822692867163E-2</v>
      </c>
      <c r="J37" s="40"/>
    </row>
    <row r="38" spans="1:10" ht="23.25">
      <c r="A38" s="51">
        <v>10</v>
      </c>
      <c r="B38" s="59" t="s">
        <v>5</v>
      </c>
      <c r="C38" s="2" t="s">
        <v>36</v>
      </c>
      <c r="D38" s="85">
        <v>101.94499999999999</v>
      </c>
      <c r="E38" s="85">
        <v>98.015000000000001</v>
      </c>
      <c r="F38" s="85">
        <v>104.081</v>
      </c>
      <c r="G38" s="85">
        <v>103.8</v>
      </c>
      <c r="H38" s="75">
        <f t="shared" si="3"/>
        <v>-2.0522477685648771E-2</v>
      </c>
      <c r="I38" s="133">
        <f t="shared" si="2"/>
        <v>-5.5732177263969139E-2</v>
      </c>
      <c r="J38" s="40"/>
    </row>
    <row r="39" spans="1:10" ht="23.25">
      <c r="A39" s="51">
        <v>11</v>
      </c>
      <c r="B39" s="59" t="s">
        <v>11</v>
      </c>
      <c r="C39" s="2" t="s">
        <v>36</v>
      </c>
      <c r="D39" s="85">
        <v>391.815</v>
      </c>
      <c r="E39" s="85">
        <v>387.24099999999999</v>
      </c>
      <c r="F39" s="85">
        <v>345.26</v>
      </c>
      <c r="G39" s="85">
        <v>355.108</v>
      </c>
      <c r="H39" s="75">
        <f t="shared" si="3"/>
        <v>0.13484041012570239</v>
      </c>
      <c r="I39" s="133">
        <f t="shared" si="2"/>
        <v>9.0487964224968132E-2</v>
      </c>
      <c r="J39" s="40"/>
    </row>
    <row r="40" spans="1:10" ht="24" thickBot="1">
      <c r="A40" s="60"/>
      <c r="B40" s="61" t="s">
        <v>12</v>
      </c>
      <c r="C40" s="3" t="s">
        <v>36</v>
      </c>
      <c r="D40" s="86">
        <v>397.93400000000003</v>
      </c>
      <c r="E40" s="86">
        <v>395.55700000000002</v>
      </c>
      <c r="F40" s="86">
        <v>374.73500000000001</v>
      </c>
      <c r="G40" s="86">
        <v>383.91300000000001</v>
      </c>
      <c r="H40" s="134">
        <f t="shared" si="3"/>
        <v>6.1907748142020394E-2</v>
      </c>
      <c r="I40" s="135">
        <f t="shared" si="2"/>
        <v>3.0329788259319181E-2</v>
      </c>
      <c r="J40" s="40"/>
    </row>
    <row r="41" spans="1:10" ht="15.75" customHeight="1">
      <c r="A41" s="41"/>
      <c r="B41" s="42"/>
      <c r="C41" s="43"/>
      <c r="D41" s="81"/>
      <c r="E41" s="81"/>
      <c r="F41" s="81"/>
      <c r="G41" s="81"/>
      <c r="H41" s="45"/>
      <c r="I41" s="46"/>
      <c r="J41" s="40"/>
    </row>
    <row r="42" spans="1:10" ht="20.25">
      <c r="A42" s="29" t="s">
        <v>46</v>
      </c>
      <c r="B42" s="44" t="s">
        <v>37</v>
      </c>
      <c r="C42" s="43"/>
      <c r="D42" s="81"/>
      <c r="E42" s="81"/>
      <c r="F42" s="81"/>
      <c r="G42" s="81"/>
      <c r="H42" s="45"/>
      <c r="I42" s="46"/>
      <c r="J42" s="40"/>
    </row>
    <row r="43" spans="1:10" ht="12" customHeight="1" thickBot="1">
      <c r="A43" s="41"/>
      <c r="B43" s="42"/>
      <c r="C43" s="43"/>
      <c r="D43" s="81"/>
      <c r="E43" s="81"/>
      <c r="F43" s="81"/>
      <c r="G43" s="81"/>
      <c r="H43" s="45"/>
      <c r="I43" s="46"/>
      <c r="J43" s="40"/>
    </row>
    <row r="44" spans="1:10" ht="24" thickBot="1">
      <c r="A44" s="50">
        <v>1</v>
      </c>
      <c r="B44" s="62" t="s">
        <v>4</v>
      </c>
      <c r="C44" s="49" t="s">
        <v>38</v>
      </c>
      <c r="D44" s="145">
        <f>('SHEET-4'!D29/'SHEET-4'!D14)*1000000</f>
        <v>470368.10102899902</v>
      </c>
      <c r="E44" s="145">
        <f>('SHEET-4'!E29/'SHEET-4'!E14)*1000000</f>
        <v>1930821.7960710942</v>
      </c>
      <c r="F44" s="132">
        <f>('SHEET-4'!F29/'SHEET-4'!F14)*1000000</f>
        <v>481190.13062409282</v>
      </c>
      <c r="G44" s="132">
        <f>('SHEET-4'!G29/'SHEET-4'!G14)*1000000</f>
        <v>1791717.4649250121</v>
      </c>
      <c r="H44" s="154">
        <f>(D44-F44)/F44</f>
        <v>-2.249013208366903E-2</v>
      </c>
      <c r="I44" s="154">
        <f>(E44-G44)/G44</f>
        <v>7.7637425469815363E-2</v>
      </c>
      <c r="J44" s="40"/>
    </row>
    <row r="45" spans="1:10" ht="24" thickBot="1">
      <c r="A45" s="51">
        <v>2</v>
      </c>
      <c r="B45" s="59" t="s">
        <v>83</v>
      </c>
      <c r="C45" s="2" t="s">
        <v>38</v>
      </c>
      <c r="D45" s="145">
        <v>0</v>
      </c>
      <c r="E45" s="145">
        <v>0</v>
      </c>
      <c r="F45" s="132" t="e">
        <f>('SHEET-4'!F30/'SHEET-4'!F15)*1000000</f>
        <v>#DIV/0!</v>
      </c>
      <c r="G45" s="132" t="e">
        <f>('SHEET-4'!G30/'SHEET-4'!G15)*1000000</f>
        <v>#DIV/0!</v>
      </c>
      <c r="H45" s="154" t="e">
        <f t="shared" ref="H45:H48" si="4">(D45-F45)/F45</f>
        <v>#DIV/0!</v>
      </c>
      <c r="I45" s="154" t="e">
        <f t="shared" ref="I45:I48" si="5">(E45-G45)/G45</f>
        <v>#DIV/0!</v>
      </c>
      <c r="J45" s="40"/>
    </row>
    <row r="46" spans="1:10" ht="24" thickBot="1">
      <c r="A46" s="51">
        <v>3</v>
      </c>
      <c r="B46" s="59" t="s">
        <v>7</v>
      </c>
      <c r="C46" s="2" t="s">
        <v>38</v>
      </c>
      <c r="D46" s="145">
        <v>0</v>
      </c>
      <c r="E46" s="145">
        <v>0</v>
      </c>
      <c r="F46" s="132">
        <v>0</v>
      </c>
      <c r="G46" s="132">
        <v>0</v>
      </c>
      <c r="H46" s="154">
        <v>0</v>
      </c>
      <c r="I46" s="154">
        <v>0</v>
      </c>
      <c r="J46" s="40"/>
    </row>
    <row r="47" spans="1:10" ht="24" thickBot="1">
      <c r="A47" s="51">
        <v>4</v>
      </c>
      <c r="B47" s="59" t="s">
        <v>8</v>
      </c>
      <c r="C47" s="2" t="s">
        <v>38</v>
      </c>
      <c r="D47" s="145">
        <f>('SHEET-4'!D32/'SHEET-4'!D17)*1000000</f>
        <v>470368.10102899902</v>
      </c>
      <c r="E47" s="145">
        <f>('SHEET-4'!E32/'SHEET-4'!E17)*1000000</f>
        <v>1930821.7960710942</v>
      </c>
      <c r="F47" s="132">
        <f>('SHEET-4'!F32/'SHEET-4'!F17)*1000000</f>
        <v>481190.13062409282</v>
      </c>
      <c r="G47" s="132">
        <f>('SHEET-4'!G32/'SHEET-4'!G17)*1000000</f>
        <v>1791717.4649250121</v>
      </c>
      <c r="H47" s="154">
        <f t="shared" si="4"/>
        <v>-2.249013208366903E-2</v>
      </c>
      <c r="I47" s="154">
        <f t="shared" si="5"/>
        <v>7.7637425469815363E-2</v>
      </c>
      <c r="J47" s="40"/>
    </row>
    <row r="48" spans="1:10" ht="24" thickBot="1">
      <c r="A48" s="51">
        <v>5</v>
      </c>
      <c r="B48" s="59" t="s">
        <v>2</v>
      </c>
      <c r="C48" s="2" t="s">
        <v>38</v>
      </c>
      <c r="D48" s="145">
        <f>('SHEET-4'!D33/'SHEET-4'!D18)*1000000</f>
        <v>195.67134350800359</v>
      </c>
      <c r="E48" s="145">
        <f>('SHEET-4'!E33/'SHEET-4'!E18)*1000000</f>
        <v>1009.9426905128056</v>
      </c>
      <c r="F48" s="132">
        <f>('SHEET-4'!F33/'SHEET-4'!F18)*1000000</f>
        <v>190.83441397795249</v>
      </c>
      <c r="G48" s="132">
        <f>('SHEET-4'!G33/'SHEET-4'!G18)*1000000</f>
        <v>967.49155221213618</v>
      </c>
      <c r="H48" s="154">
        <f t="shared" si="4"/>
        <v>2.5346212086305959E-2</v>
      </c>
      <c r="I48" s="154">
        <f t="shared" si="5"/>
        <v>4.3877528649843345E-2</v>
      </c>
      <c r="J48" s="40"/>
    </row>
    <row r="49" spans="1:10" ht="18" customHeight="1">
      <c r="A49" s="51">
        <v>6</v>
      </c>
      <c r="B49" s="59" t="s">
        <v>3</v>
      </c>
      <c r="C49" s="2" t="s">
        <v>38</v>
      </c>
      <c r="D49" s="335">
        <f>('SHEET-4'!D34/'SHEET-4'!D19)*1000000</f>
        <v>993.4541101589756</v>
      </c>
      <c r="E49" s="335">
        <f>('SHEET-4'!E34/'SHEET-4'!E19)*1000000</f>
        <v>4736.173194551905</v>
      </c>
      <c r="F49" s="335">
        <f>('SHEET-4'!F34/'SHEET-4'!F19)*1000000</f>
        <v>985.08374173651521</v>
      </c>
      <c r="G49" s="335">
        <f>('SHEET-4'!G34/'SHEET-4'!G19)*1000000</f>
        <v>4656.7733858532183</v>
      </c>
      <c r="H49" s="332">
        <f t="shared" ref="H49:I49" si="6">(D49-F49)/F49</f>
        <v>8.4971135628581392E-3</v>
      </c>
      <c r="I49" s="286">
        <f t="shared" si="6"/>
        <v>1.705039135893854E-2</v>
      </c>
      <c r="J49" s="40"/>
    </row>
    <row r="50" spans="1:10" ht="18" customHeight="1" thickBot="1">
      <c r="A50" s="51">
        <v>7</v>
      </c>
      <c r="B50" s="59" t="s">
        <v>1</v>
      </c>
      <c r="C50" s="2" t="s">
        <v>38</v>
      </c>
      <c r="D50" s="336"/>
      <c r="E50" s="336"/>
      <c r="F50" s="336"/>
      <c r="G50" s="336"/>
      <c r="H50" s="333"/>
      <c r="I50" s="287"/>
      <c r="J50" s="40"/>
    </row>
    <row r="51" spans="1:10" ht="24" thickBot="1">
      <c r="A51" s="51">
        <v>8</v>
      </c>
      <c r="B51" s="59" t="s">
        <v>9</v>
      </c>
      <c r="C51" s="2" t="s">
        <v>38</v>
      </c>
      <c r="D51" s="145">
        <f>('SHEET-4'!D36/'SHEET-4'!D21)*1000000</f>
        <v>2412.7619110076398</v>
      </c>
      <c r="E51" s="145">
        <f>('SHEET-4'!E36/'SHEET-4'!E21)*1000000</f>
        <v>11770.731547365314</v>
      </c>
      <c r="F51" s="132">
        <f>('SHEET-4'!F36/'SHEET-4'!F21)*1000000</f>
        <v>2490.8684705131391</v>
      </c>
      <c r="G51" s="132">
        <f>('SHEET-4'!G36/'SHEET-4'!G21)*1000000</f>
        <v>12351.147203801553</v>
      </c>
      <c r="H51" s="154">
        <f>(D51-F51)/F51</f>
        <v>-3.1357159332226277E-2</v>
      </c>
      <c r="I51" s="154">
        <f>(E51-G51)/G51</f>
        <v>-4.6992853931624466E-2</v>
      </c>
      <c r="J51" s="40"/>
    </row>
    <row r="52" spans="1:10" ht="24" thickBot="1">
      <c r="A52" s="51">
        <v>9</v>
      </c>
      <c r="B52" s="59" t="s">
        <v>10</v>
      </c>
      <c r="C52" s="2" t="s">
        <v>38</v>
      </c>
      <c r="D52" s="145">
        <f>('SHEET-4'!D37/'SHEET-4'!D22)*1000000</f>
        <v>309.14054021664595</v>
      </c>
      <c r="E52" s="145">
        <f>('SHEET-4'!E37/'SHEET-4'!E22)*1000000</f>
        <v>1544.0422372985172</v>
      </c>
      <c r="F52" s="132">
        <f>('SHEET-4'!F37/'SHEET-4'!F22)*1000000</f>
        <v>295.47906361345508</v>
      </c>
      <c r="G52" s="132">
        <f>('SHEET-4'!G37/'SHEET-4'!G22)*1000000</f>
        <v>1492.215079029575</v>
      </c>
      <c r="H52" s="154">
        <f t="shared" ref="H52" si="7">(D52-F52)/F52</f>
        <v>4.6235007097026576E-2</v>
      </c>
      <c r="I52" s="154">
        <f t="shared" ref="I52" si="8">(E52-G52)/G52</f>
        <v>3.473169451058402E-2</v>
      </c>
      <c r="J52" s="40"/>
    </row>
    <row r="53" spans="1:10" ht="24" thickBot="1">
      <c r="A53" s="51">
        <v>10</v>
      </c>
      <c r="B53" s="59" t="s">
        <v>5</v>
      </c>
      <c r="C53" s="2" t="s">
        <v>38</v>
      </c>
      <c r="D53" s="145">
        <f>('SHEET-4'!D38/'SHEET-4'!D23)*1000000</f>
        <v>2587.7889759410382</v>
      </c>
      <c r="E53" s="145">
        <f>('SHEET-4'!E38/'SHEET-4'!E23)*1000000</f>
        <v>8220.3243647505151</v>
      </c>
      <c r="F53" s="132">
        <f>('SHEET-4'!F38/'SHEET-4'!F23)*1000000</f>
        <v>2830.4035716842495</v>
      </c>
      <c r="G53" s="132">
        <f>('SHEET-4'!G38/'SHEET-4'!G23)*1000000</f>
        <v>7995.4833293199617</v>
      </c>
      <c r="H53" s="154">
        <v>0</v>
      </c>
      <c r="I53" s="154">
        <v>0</v>
      </c>
      <c r="J53" s="40"/>
    </row>
    <row r="54" spans="1:10" ht="24" thickBot="1">
      <c r="A54" s="51">
        <v>11</v>
      </c>
      <c r="B54" s="59" t="s">
        <v>11</v>
      </c>
      <c r="C54" s="2" t="s">
        <v>38</v>
      </c>
      <c r="D54" s="145">
        <f>('SHEET-4'!D39/'SHEET-4'!D24)*1000000</f>
        <v>428.32927574491748</v>
      </c>
      <c r="E54" s="145">
        <f>('SHEET-4'!E39/'SHEET-4'!E24)*1000000</f>
        <v>1893.2569789521738</v>
      </c>
      <c r="F54" s="132">
        <f>('SHEET-4'!F39/'SHEET-4'!F24)*1000000</f>
        <v>422.43412249980037</v>
      </c>
      <c r="G54" s="132">
        <f>('SHEET-4'!G39/'SHEET-4'!G24)*1000000</f>
        <v>1817.9142472062465</v>
      </c>
      <c r="H54" s="154">
        <f t="shared" ref="H54:H55" si="9">(D54-F54)/F54</f>
        <v>1.395520137017317E-2</v>
      </c>
      <c r="I54" s="154">
        <f t="shared" ref="I54:I55" si="10">(E54-G54)/G54</f>
        <v>4.1444601615127481E-2</v>
      </c>
      <c r="J54" s="40"/>
    </row>
    <row r="55" spans="1:10" ht="24" thickBot="1">
      <c r="A55" s="60"/>
      <c r="B55" s="61" t="s">
        <v>12</v>
      </c>
      <c r="C55" s="3" t="s">
        <v>38</v>
      </c>
      <c r="D55" s="94">
        <f>('SHEET-4'!D40/'SHEET-4'!D25)*1000000</f>
        <v>745.08743760480638</v>
      </c>
      <c r="E55" s="94">
        <f>('SHEET-4'!E40/'SHEET-4'!E25)*1000000</f>
        <v>3193.4317994879443</v>
      </c>
      <c r="F55" s="94">
        <f>('SHEET-4'!F40/'SHEET-4'!F25)*1000000</f>
        <v>746.12256650658344</v>
      </c>
      <c r="G55" s="94">
        <f>('SHEET-4'!G40/'SHEET-4'!G25)*1000000</f>
        <v>3023.0072780052064</v>
      </c>
      <c r="H55" s="154">
        <f t="shared" si="9"/>
        <v>-1.3873443161270787E-3</v>
      </c>
      <c r="I55" s="154">
        <f t="shared" si="10"/>
        <v>5.6375822421173928E-2</v>
      </c>
      <c r="J55" s="40"/>
    </row>
    <row r="56" spans="1:10">
      <c r="A56" s="43"/>
      <c r="B56" s="43"/>
      <c r="C56" s="43"/>
      <c r="D56" s="87"/>
      <c r="E56" s="87"/>
      <c r="F56" s="87"/>
      <c r="G56" s="87"/>
      <c r="H56" s="43"/>
      <c r="I56" s="43"/>
      <c r="J56" s="40"/>
    </row>
    <row r="57" spans="1:10">
      <c r="A57" s="40"/>
      <c r="B57" s="40"/>
      <c r="C57" s="40"/>
      <c r="D57" s="40"/>
      <c r="E57" s="40"/>
      <c r="F57" s="40"/>
      <c r="G57" s="40"/>
      <c r="H57" s="40"/>
      <c r="I57" s="40"/>
      <c r="J57" s="40"/>
    </row>
    <row r="58" spans="1:10" ht="12.75" customHeight="1">
      <c r="A58" s="292" t="s">
        <v>138</v>
      </c>
      <c r="B58" s="292"/>
      <c r="C58" s="40"/>
      <c r="D58" s="40"/>
      <c r="E58" s="40"/>
      <c r="F58" s="40"/>
      <c r="G58" s="40"/>
      <c r="H58" s="40"/>
      <c r="I58" s="40"/>
      <c r="J58" s="40"/>
    </row>
    <row r="59" spans="1:10">
      <c r="A59" s="40"/>
      <c r="B59" s="40"/>
      <c r="C59" s="40"/>
      <c r="D59" s="40"/>
      <c r="E59" s="40"/>
      <c r="F59" s="40"/>
      <c r="G59" s="40"/>
      <c r="H59" s="40"/>
      <c r="I59" s="40"/>
      <c r="J59" s="40"/>
    </row>
    <row r="60" spans="1:10">
      <c r="A60" s="40"/>
      <c r="B60" s="40"/>
      <c r="C60" s="40"/>
      <c r="D60" s="40"/>
      <c r="E60" s="40"/>
      <c r="F60" s="40"/>
      <c r="G60" s="40"/>
      <c r="H60" s="40"/>
      <c r="I60" s="40"/>
      <c r="J60" s="40"/>
    </row>
    <row r="61" spans="1:10" ht="26.25">
      <c r="A61" s="40"/>
      <c r="B61" s="40"/>
      <c r="C61" s="40"/>
      <c r="D61" s="64"/>
      <c r="E61" s="40"/>
      <c r="F61" s="40"/>
      <c r="G61" s="40"/>
      <c r="H61" s="40"/>
      <c r="I61" s="40"/>
      <c r="J61" s="40"/>
    </row>
    <row r="62" spans="1:10">
      <c r="A62" s="40"/>
      <c r="B62" s="40"/>
      <c r="C62" s="40"/>
      <c r="D62" s="40"/>
      <c r="E62" s="40"/>
      <c r="F62" s="40"/>
      <c r="G62" s="40"/>
      <c r="H62" s="40"/>
      <c r="I62" s="40"/>
      <c r="J62" s="40"/>
    </row>
  </sheetData>
  <mergeCells count="29">
    <mergeCell ref="A58:B58"/>
    <mergeCell ref="H12:H13"/>
    <mergeCell ref="I12:I13"/>
    <mergeCell ref="D13:E13"/>
    <mergeCell ref="E49:E50"/>
    <mergeCell ref="H49:H50"/>
    <mergeCell ref="G34:G35"/>
    <mergeCell ref="F49:F50"/>
    <mergeCell ref="G49:G50"/>
    <mergeCell ref="E19:E20"/>
    <mergeCell ref="F34:F35"/>
    <mergeCell ref="I49:I50"/>
    <mergeCell ref="E34:E35"/>
    <mergeCell ref="H34:H35"/>
    <mergeCell ref="I34:I35"/>
    <mergeCell ref="D49:D50"/>
    <mergeCell ref="F13:G13"/>
    <mergeCell ref="D19:D20"/>
    <mergeCell ref="D34:D35"/>
    <mergeCell ref="A5:I5"/>
    <mergeCell ref="A9:I9"/>
    <mergeCell ref="A7:I7"/>
    <mergeCell ref="H11:I11"/>
    <mergeCell ref="F11:G11"/>
    <mergeCell ref="D11:E11"/>
    <mergeCell ref="H19:H20"/>
    <mergeCell ref="I19:I20"/>
    <mergeCell ref="F19:F20"/>
    <mergeCell ref="G19:G20"/>
  </mergeCells>
  <phoneticPr fontId="1" type="noConversion"/>
  <printOptions horizontalCentered="1" verticalCentered="1"/>
  <pageMargins left="0.511811023622047" right="0.23622047244094499" top="0.15748031496063" bottom="0" header="0.511811023622047" footer="0.511811023622047"/>
  <pageSetup paperSize="9" scale="45" orientation="landscape" verticalDpi="300" r:id="rId1"/>
  <headerFooter alignWithMargins="0"/>
</worksheet>
</file>

<file path=xl/worksheets/sheet8.xml><?xml version="1.0" encoding="utf-8"?>
<worksheet xmlns="http://schemas.openxmlformats.org/spreadsheetml/2006/main" xmlns:r="http://schemas.openxmlformats.org/officeDocument/2006/relationships">
  <dimension ref="A1:M45"/>
  <sheetViews>
    <sheetView view="pageBreakPreview" topLeftCell="A4" zoomScale="60" zoomScaleNormal="70" workbookViewId="0">
      <selection activeCell="I17" sqref="I17"/>
    </sheetView>
  </sheetViews>
  <sheetFormatPr defaultRowHeight="12.75"/>
  <cols>
    <col min="1" max="1" width="8" customWidth="1"/>
    <col min="2" max="2" width="72.42578125" customWidth="1"/>
    <col min="3" max="3" width="30.85546875" customWidth="1"/>
    <col min="4" max="4" width="26.85546875" customWidth="1"/>
    <col min="5" max="5" width="24.7109375" customWidth="1"/>
    <col min="6" max="6" width="15.140625" customWidth="1"/>
    <col min="7" max="7" width="13" customWidth="1"/>
    <col min="11" max="12" width="13" bestFit="1" customWidth="1"/>
    <col min="13" max="13" width="17.5703125" bestFit="1" customWidth="1"/>
  </cols>
  <sheetData>
    <row r="1" spans="1:8" ht="33">
      <c r="B1" s="165"/>
      <c r="C1" s="165"/>
      <c r="E1" s="6" t="s">
        <v>133</v>
      </c>
    </row>
    <row r="4" spans="1:8" ht="37.5">
      <c r="A4" s="300" t="s">
        <v>0</v>
      </c>
      <c r="B4" s="300"/>
      <c r="C4" s="300"/>
      <c r="D4" s="300"/>
      <c r="E4" s="300"/>
    </row>
    <row r="5" spans="1:8" ht="18" customHeight="1">
      <c r="A5" s="1"/>
      <c r="B5" s="1"/>
      <c r="C5" s="1"/>
    </row>
    <row r="6" spans="1:8" ht="30">
      <c r="A6" s="301" t="s">
        <v>101</v>
      </c>
      <c r="B6" s="301"/>
      <c r="C6" s="301"/>
      <c r="D6" s="301"/>
      <c r="E6" s="301"/>
    </row>
    <row r="7" spans="1:8" ht="18" customHeight="1" thickBot="1"/>
    <row r="8" spans="1:8" ht="36.75" customHeight="1">
      <c r="A8" s="9"/>
      <c r="B8" s="10"/>
      <c r="C8" s="19" t="s">
        <v>106</v>
      </c>
      <c r="D8" s="38" t="s">
        <v>67</v>
      </c>
      <c r="E8" s="16" t="s">
        <v>16</v>
      </c>
    </row>
    <row r="9" spans="1:8" ht="66.75" customHeight="1">
      <c r="A9" s="11"/>
      <c r="B9" s="8"/>
      <c r="C9" s="131" t="s">
        <v>142</v>
      </c>
      <c r="D9" s="168" t="s">
        <v>143</v>
      </c>
      <c r="E9" s="88"/>
    </row>
    <row r="10" spans="1:8" ht="20.25">
      <c r="A10" s="11" t="s">
        <v>39</v>
      </c>
      <c r="B10" s="12" t="s">
        <v>85</v>
      </c>
      <c r="C10" s="92" t="s">
        <v>63</v>
      </c>
      <c r="D10" s="73" t="s">
        <v>63</v>
      </c>
      <c r="E10" s="146"/>
    </row>
    <row r="11" spans="1:8" ht="23.25">
      <c r="A11" s="11">
        <v>1</v>
      </c>
      <c r="B11" s="12" t="s">
        <v>86</v>
      </c>
      <c r="C11" s="76">
        <v>5885.34</v>
      </c>
      <c r="D11" s="76">
        <f>528425.4092546/100</f>
        <v>5284.2540925459998</v>
      </c>
      <c r="E11" s="133">
        <f>(C11-D11)/D11</f>
        <v>0.11375037932068703</v>
      </c>
      <c r="F11" s="161">
        <f>5284.25*0.75</f>
        <v>3963.1875</v>
      </c>
      <c r="G11" s="90">
        <f>+C11-D11</f>
        <v>601.08590745400033</v>
      </c>
      <c r="H11" s="90">
        <f>+D11-'SHEET-5'!G25</f>
        <v>4.0925459998106817E-3</v>
      </c>
    </row>
    <row r="12" spans="1:8" ht="23.25">
      <c r="A12" s="11"/>
      <c r="B12" s="12" t="s">
        <v>147</v>
      </c>
      <c r="C12" s="76">
        <v>0</v>
      </c>
      <c r="D12" s="76">
        <v>8.7899999999999991</v>
      </c>
      <c r="E12" s="133"/>
      <c r="F12" s="161"/>
      <c r="G12" s="90"/>
      <c r="H12" s="90"/>
    </row>
    <row r="13" spans="1:8" ht="23.25">
      <c r="A13" s="11">
        <v>2</v>
      </c>
      <c r="B13" s="12" t="s">
        <v>87</v>
      </c>
      <c r="C13" s="76">
        <v>148.84</v>
      </c>
      <c r="D13" s="76">
        <f>18031.3637622/100</f>
        <v>180.31363762199999</v>
      </c>
      <c r="E13" s="133">
        <f t="shared" ref="E13:E16" si="0">(C13-D13)/D13</f>
        <v>-0.17454940201461444</v>
      </c>
      <c r="F13" s="90">
        <f>+(26.71+25.21+81.7+46.67)*0.75</f>
        <v>135.21750000000003</v>
      </c>
      <c r="G13" s="90"/>
    </row>
    <row r="14" spans="1:8" ht="23.25">
      <c r="A14" s="11">
        <v>3</v>
      </c>
      <c r="B14" s="12" t="s">
        <v>129</v>
      </c>
      <c r="C14" s="76">
        <v>73.81</v>
      </c>
      <c r="D14" s="76">
        <f>7380.694/100</f>
        <v>73.806939999999997</v>
      </c>
      <c r="E14" s="133">
        <f t="shared" si="0"/>
        <v>4.1459515866732148E-5</v>
      </c>
      <c r="F14">
        <f>73.81*0.75</f>
        <v>55.357500000000002</v>
      </c>
    </row>
    <row r="15" spans="1:8" ht="23.25">
      <c r="A15" s="11">
        <v>4</v>
      </c>
      <c r="B15" s="12" t="s">
        <v>88</v>
      </c>
      <c r="C15" s="76">
        <v>139.4</v>
      </c>
      <c r="D15" s="76">
        <f>13383.5464249/100-0.01</f>
        <v>133.82546424899999</v>
      </c>
      <c r="E15" s="133">
        <f t="shared" si="0"/>
        <v>4.1655269288869055E-2</v>
      </c>
      <c r="F15">
        <f>133.84*0.75</f>
        <v>100.38</v>
      </c>
    </row>
    <row r="16" spans="1:8" ht="23.25">
      <c r="A16" s="11">
        <v>5</v>
      </c>
      <c r="B16" s="12" t="s">
        <v>122</v>
      </c>
      <c r="C16" s="76">
        <f>SUM(C11:C15)</f>
        <v>6247.39</v>
      </c>
      <c r="D16" s="76">
        <f>SUM(D11:D15)</f>
        <v>5680.9901344170003</v>
      </c>
      <c r="E16" s="133">
        <f t="shared" si="0"/>
        <v>9.9700906388059701E-2</v>
      </c>
      <c r="F16" s="169">
        <f>+D16+70.37</f>
        <v>5751.3601344170002</v>
      </c>
    </row>
    <row r="17" spans="1:11" ht="17.25" customHeight="1">
      <c r="A17" s="11"/>
      <c r="B17" s="12"/>
      <c r="C17" s="76"/>
      <c r="D17" s="76"/>
      <c r="E17" s="147"/>
    </row>
    <row r="18" spans="1:11" ht="23.25" customHeight="1">
      <c r="A18" s="11" t="s">
        <v>6</v>
      </c>
      <c r="B18" s="12" t="s">
        <v>89</v>
      </c>
      <c r="C18" s="76"/>
      <c r="D18" s="76"/>
      <c r="E18" s="147"/>
    </row>
    <row r="19" spans="1:11" ht="23.25">
      <c r="A19" s="11"/>
      <c r="B19" s="12" t="s">
        <v>90</v>
      </c>
      <c r="C19" s="76"/>
      <c r="D19" s="76"/>
      <c r="E19" s="147"/>
      <c r="K19" t="s">
        <v>131</v>
      </c>
    </row>
    <row r="20" spans="1:11" ht="18" customHeight="1">
      <c r="A20" s="11">
        <v>1</v>
      </c>
      <c r="B20" s="12" t="s">
        <v>110</v>
      </c>
      <c r="C20" s="288">
        <f>5316.18-24.68</f>
        <v>5291.5</v>
      </c>
      <c r="D20" s="288">
        <f>4780.2-70.37</f>
        <v>4709.83</v>
      </c>
      <c r="E20" s="286">
        <f>(C20-D20)/D20</f>
        <v>0.12350127286972143</v>
      </c>
    </row>
    <row r="21" spans="1:11" ht="18" customHeight="1">
      <c r="A21" s="11">
        <v>2</v>
      </c>
      <c r="B21" s="12" t="s">
        <v>91</v>
      </c>
      <c r="C21" s="337"/>
      <c r="D21" s="337"/>
      <c r="E21" s="290"/>
      <c r="F21" s="166">
        <f>4780.2*0.75</f>
        <v>3585.1499999999996</v>
      </c>
      <c r="G21" s="90"/>
    </row>
    <row r="22" spans="1:11" ht="18" customHeight="1">
      <c r="A22" s="11">
        <v>3</v>
      </c>
      <c r="B22" s="12" t="s">
        <v>92</v>
      </c>
      <c r="C22" s="291"/>
      <c r="D22" s="291"/>
      <c r="E22" s="287"/>
    </row>
    <row r="23" spans="1:11" ht="23.25">
      <c r="A23" s="11">
        <v>4</v>
      </c>
      <c r="B23" s="12" t="s">
        <v>93</v>
      </c>
      <c r="C23" s="76">
        <v>0</v>
      </c>
      <c r="D23" s="76">
        <v>0</v>
      </c>
      <c r="E23" s="133">
        <v>0</v>
      </c>
      <c r="G23" s="40"/>
    </row>
    <row r="24" spans="1:11" ht="25.5" customHeight="1">
      <c r="A24" s="11">
        <v>5</v>
      </c>
      <c r="B24" s="12" t="s">
        <v>94</v>
      </c>
      <c r="C24" s="76">
        <v>475.8</v>
      </c>
      <c r="D24" s="76">
        <f>46972.9850387/100</f>
        <v>469.72985038699994</v>
      </c>
      <c r="E24" s="133">
        <f>(C24-D24)/D24</f>
        <v>1.2922639700242615E-2</v>
      </c>
      <c r="F24">
        <f>469.73*0.75</f>
        <v>352.29750000000001</v>
      </c>
      <c r="G24" s="161"/>
    </row>
    <row r="25" spans="1:11" ht="23.25">
      <c r="A25" s="11">
        <v>6</v>
      </c>
      <c r="B25" s="12" t="s">
        <v>27</v>
      </c>
      <c r="C25" s="76">
        <v>54.94</v>
      </c>
      <c r="D25" s="76">
        <f>5899.7689104/100</f>
        <v>58.997689104000003</v>
      </c>
      <c r="E25" s="133">
        <f t="shared" ref="E25:E27" si="1">(C25-D25)/D25</f>
        <v>-6.8777085435451343E-2</v>
      </c>
      <c r="F25">
        <f>59*0.75</f>
        <v>44.25</v>
      </c>
    </row>
    <row r="26" spans="1:11" ht="23.25">
      <c r="A26" s="11">
        <v>7</v>
      </c>
      <c r="B26" s="12" t="s">
        <v>95</v>
      </c>
      <c r="C26" s="76">
        <v>77.47</v>
      </c>
      <c r="D26" s="76">
        <f>7448.7372289/100</f>
        <v>74.487372289000007</v>
      </c>
      <c r="E26" s="133">
        <f t="shared" si="1"/>
        <v>4.0042058396527094E-2</v>
      </c>
      <c r="F26">
        <f>74.49*0.75</f>
        <v>55.867499999999993</v>
      </c>
    </row>
    <row r="27" spans="1:11" ht="23.25">
      <c r="A27" s="11">
        <v>8</v>
      </c>
      <c r="B27" s="12" t="s">
        <v>96</v>
      </c>
      <c r="C27" s="76">
        <v>8.1999999999999993</v>
      </c>
      <c r="D27" s="76">
        <f>820.4501059/100</f>
        <v>8.204501059</v>
      </c>
      <c r="E27" s="133">
        <f t="shared" si="1"/>
        <v>-5.4860849765669473E-4</v>
      </c>
      <c r="F27">
        <f>8.2*0.75</f>
        <v>6.1499999999999995</v>
      </c>
    </row>
    <row r="28" spans="1:11" ht="12.75" customHeight="1">
      <c r="A28" s="11"/>
      <c r="B28" s="12"/>
      <c r="C28" s="76"/>
      <c r="D28" s="76"/>
      <c r="E28" s="147"/>
    </row>
    <row r="29" spans="1:11" ht="23.25">
      <c r="A29" s="11">
        <v>9</v>
      </c>
      <c r="B29" s="12" t="s">
        <v>28</v>
      </c>
      <c r="C29" s="76">
        <v>262.48</v>
      </c>
      <c r="D29" s="76">
        <f>24147.7766315/100</f>
        <v>241.477766315</v>
      </c>
      <c r="E29" s="133">
        <f>(C29-D29)/D29</f>
        <v>8.6973778188768239E-2</v>
      </c>
      <c r="F29">
        <f>241.48*0.75</f>
        <v>181.10999999999999</v>
      </c>
      <c r="G29" s="161"/>
    </row>
    <row r="30" spans="1:11" ht="27" customHeight="1">
      <c r="A30" s="11">
        <v>10</v>
      </c>
      <c r="B30" s="12" t="s">
        <v>26</v>
      </c>
      <c r="C30" s="76">
        <v>61.75</v>
      </c>
      <c r="D30" s="76">
        <f>6055.3187376/100</f>
        <v>60.553187375999997</v>
      </c>
      <c r="E30" s="133">
        <f t="shared" ref="E30:E36" si="2">(C30-D30)/D30</f>
        <v>1.9764651141623551E-2</v>
      </c>
      <c r="F30">
        <f>60.55*0.75</f>
        <v>45.412499999999994</v>
      </c>
    </row>
    <row r="31" spans="1:11" ht="23.25">
      <c r="A31" s="11">
        <v>11</v>
      </c>
      <c r="B31" s="12" t="s">
        <v>97</v>
      </c>
      <c r="C31" s="76">
        <v>0</v>
      </c>
      <c r="D31" s="76">
        <v>0</v>
      </c>
      <c r="E31" s="167">
        <v>0</v>
      </c>
    </row>
    <row r="32" spans="1:11" ht="23.25">
      <c r="A32" s="11">
        <v>12</v>
      </c>
      <c r="B32" s="12" t="s">
        <v>98</v>
      </c>
      <c r="C32" s="76">
        <v>0</v>
      </c>
      <c r="D32" s="76">
        <v>0</v>
      </c>
      <c r="E32" s="133">
        <v>0</v>
      </c>
    </row>
    <row r="33" spans="1:13" ht="23.25">
      <c r="A33" s="11">
        <v>13</v>
      </c>
      <c r="B33" s="12" t="s">
        <v>99</v>
      </c>
      <c r="C33" s="76">
        <v>-55.88</v>
      </c>
      <c r="D33" s="76">
        <f>-4743.6268229/100</f>
        <v>-47.436268229</v>
      </c>
      <c r="E33" s="133">
        <f t="shared" si="2"/>
        <v>0.17800160270275975</v>
      </c>
      <c r="F33">
        <f>47.44*0.75</f>
        <v>35.58</v>
      </c>
    </row>
    <row r="34" spans="1:13" ht="23.25">
      <c r="A34" s="11">
        <v>14</v>
      </c>
      <c r="B34" s="12" t="s">
        <v>126</v>
      </c>
      <c r="C34" s="76">
        <f>+SUM(C20:C33)</f>
        <v>6176.2599999999993</v>
      </c>
      <c r="D34" s="76">
        <f>+SUM(D20:D33)</f>
        <v>5575.8440983009987</v>
      </c>
      <c r="E34" s="133">
        <f t="shared" si="2"/>
        <v>0.10768161575427689</v>
      </c>
    </row>
    <row r="35" spans="1:13" ht="15" customHeight="1">
      <c r="A35" s="11"/>
      <c r="B35" s="12"/>
      <c r="C35" s="78"/>
      <c r="D35" s="78"/>
      <c r="E35" s="133"/>
    </row>
    <row r="36" spans="1:13" ht="26.25" customHeight="1">
      <c r="A36" s="11" t="s">
        <v>46</v>
      </c>
      <c r="B36" s="12" t="s">
        <v>100</v>
      </c>
      <c r="C36" s="76">
        <f>+C16-C34</f>
        <v>71.130000000001019</v>
      </c>
      <c r="D36" s="76">
        <f>+D16-D34</f>
        <v>105.1460361160016</v>
      </c>
      <c r="E36" s="133">
        <f t="shared" si="2"/>
        <v>-0.32351230129562503</v>
      </c>
      <c r="F36" s="108"/>
      <c r="G36" s="90"/>
      <c r="H36" s="90"/>
      <c r="K36" s="20"/>
      <c r="L36" s="20"/>
      <c r="M36" s="21"/>
    </row>
    <row r="37" spans="1:13" ht="23.25">
      <c r="A37" s="11"/>
      <c r="B37" s="12"/>
      <c r="C37" s="74"/>
      <c r="D37" s="74"/>
      <c r="E37" s="133"/>
    </row>
    <row r="38" spans="1:13" ht="23.25" customHeight="1" thickBot="1">
      <c r="A38" s="338" t="s">
        <v>130</v>
      </c>
      <c r="B38" s="339"/>
      <c r="C38" s="339"/>
      <c r="D38" s="339"/>
      <c r="E38" s="340"/>
    </row>
    <row r="39" spans="1:13">
      <c r="A39" s="18"/>
      <c r="B39" s="18"/>
      <c r="C39" s="18"/>
      <c r="D39" s="37"/>
      <c r="E39" s="18"/>
    </row>
    <row r="40" spans="1:13">
      <c r="C40" s="90"/>
    </row>
    <row r="41" spans="1:13" ht="12.75" customHeight="1">
      <c r="A41" s="292" t="s">
        <v>128</v>
      </c>
      <c r="B41" s="292"/>
    </row>
    <row r="42" spans="1:13">
      <c r="C42" s="90"/>
      <c r="D42" s="90"/>
    </row>
    <row r="45" spans="1:13">
      <c r="E45" s="90"/>
    </row>
  </sheetData>
  <mergeCells count="7">
    <mergeCell ref="A41:B41"/>
    <mergeCell ref="A4:E4"/>
    <mergeCell ref="A6:E6"/>
    <mergeCell ref="E20:E22"/>
    <mergeCell ref="D20:D22"/>
    <mergeCell ref="A38:E38"/>
    <mergeCell ref="C20:C22"/>
  </mergeCells>
  <phoneticPr fontId="1" type="noConversion"/>
  <printOptions horizontalCentered="1" verticalCentered="1"/>
  <pageMargins left="0.5" right="0.25" top="0.25" bottom="0" header="0.5" footer="0.5"/>
  <pageSetup paperSize="9" scale="55" orientation="landscape" r:id="rId1"/>
  <headerFooter alignWithMargins="0"/>
</worksheet>
</file>

<file path=xl/worksheets/sheet9.xml><?xml version="1.0" encoding="utf-8"?>
<worksheet xmlns="http://schemas.openxmlformats.org/spreadsheetml/2006/main" xmlns:r="http://schemas.openxmlformats.org/officeDocument/2006/relationships">
  <dimension ref="A1:L37"/>
  <sheetViews>
    <sheetView topLeftCell="E21" workbookViewId="0">
      <selection activeCell="P48" sqref="P48"/>
    </sheetView>
  </sheetViews>
  <sheetFormatPr defaultRowHeight="12.75"/>
  <cols>
    <col min="1" max="1" width="4.7109375" style="107" customWidth="1"/>
    <col min="2" max="2" width="25.85546875" style="253" customWidth="1"/>
    <col min="3" max="3" width="6" style="43" customWidth="1"/>
    <col min="4" max="4" width="15.28515625" style="254" customWidth="1"/>
    <col min="5" max="6" width="15.28515625" style="107" customWidth="1"/>
    <col min="7" max="7" width="15.85546875" style="107" customWidth="1"/>
    <col min="8" max="8" width="18.5703125" style="107" customWidth="1"/>
    <col min="9" max="16384" width="9.140625" style="107"/>
  </cols>
  <sheetData>
    <row r="1" spans="1:12" ht="21.75" customHeight="1">
      <c r="A1" s="341" t="s">
        <v>148</v>
      </c>
      <c r="B1" s="341"/>
      <c r="C1" s="341"/>
      <c r="D1" s="341"/>
      <c r="E1" s="341"/>
      <c r="F1" s="341"/>
      <c r="G1" s="341"/>
      <c r="H1" s="179" t="s">
        <v>149</v>
      </c>
    </row>
    <row r="2" spans="1:12" ht="2.25" hidden="1" customHeight="1">
      <c r="A2" s="180"/>
      <c r="B2" s="180"/>
      <c r="C2" s="180"/>
      <c r="D2" s="180"/>
      <c r="E2" s="181"/>
      <c r="F2" s="181"/>
      <c r="G2" s="180"/>
      <c r="H2" s="180"/>
    </row>
    <row r="3" spans="1:12" ht="40.5" customHeight="1" thickBot="1">
      <c r="A3" s="342" t="s">
        <v>150</v>
      </c>
      <c r="B3" s="342"/>
      <c r="C3" s="342"/>
      <c r="D3" s="342"/>
      <c r="E3" s="342"/>
      <c r="F3" s="342"/>
      <c r="G3" s="342"/>
      <c r="H3" s="342"/>
    </row>
    <row r="4" spans="1:12" s="183" customFormat="1" ht="3" hidden="1" customHeight="1">
      <c r="A4" s="182"/>
      <c r="C4" s="184"/>
      <c r="E4" s="185"/>
      <c r="F4" s="185"/>
      <c r="H4" s="185"/>
    </row>
    <row r="5" spans="1:12" ht="51.75" thickTop="1">
      <c r="A5" s="186" t="s">
        <v>151</v>
      </c>
      <c r="B5" s="187" t="s">
        <v>152</v>
      </c>
      <c r="C5" s="188"/>
      <c r="D5" s="189" t="s">
        <v>153</v>
      </c>
      <c r="E5" s="189" t="s">
        <v>154</v>
      </c>
      <c r="F5" s="189" t="s">
        <v>155</v>
      </c>
      <c r="G5" s="190"/>
      <c r="H5" s="191"/>
      <c r="K5" s="43"/>
      <c r="L5" s="43"/>
    </row>
    <row r="6" spans="1:12" ht="15.75">
      <c r="A6" s="192"/>
      <c r="B6" s="193" t="s">
        <v>156</v>
      </c>
      <c r="C6" s="194" t="s">
        <v>157</v>
      </c>
      <c r="D6" s="195"/>
      <c r="E6" s="196">
        <f>E28</f>
        <v>58467</v>
      </c>
      <c r="F6" s="197">
        <f>E23</f>
        <v>129235</v>
      </c>
      <c r="G6" s="198"/>
      <c r="H6" s="199"/>
      <c r="J6" s="200"/>
      <c r="K6" s="201"/>
    </row>
    <row r="7" spans="1:12" ht="15">
      <c r="A7" s="202"/>
      <c r="B7" s="193" t="s">
        <v>158</v>
      </c>
      <c r="C7" s="194" t="s">
        <v>157</v>
      </c>
      <c r="D7" s="195"/>
      <c r="E7" s="196">
        <f>F28</f>
        <v>16458</v>
      </c>
      <c r="F7" s="197">
        <f>F23</f>
        <v>14672</v>
      </c>
      <c r="G7" s="198"/>
      <c r="H7" s="199"/>
      <c r="J7" s="203"/>
      <c r="K7" s="201"/>
    </row>
    <row r="8" spans="1:12" s="210" customFormat="1" ht="18" customHeight="1">
      <c r="A8" s="204"/>
      <c r="B8" s="205" t="s">
        <v>159</v>
      </c>
      <c r="C8" s="206" t="s">
        <v>157</v>
      </c>
      <c r="D8" s="207"/>
      <c r="E8" s="208">
        <f>SUM(E6:E7)</f>
        <v>74925</v>
      </c>
      <c r="F8" s="208">
        <f>SUM(F6:F7)</f>
        <v>143907</v>
      </c>
      <c r="G8" s="207"/>
      <c r="H8" s="209"/>
      <c r="J8" s="200"/>
    </row>
    <row r="9" spans="1:12" ht="0.75" hidden="1" customHeight="1">
      <c r="A9" s="202"/>
      <c r="B9" s="193"/>
      <c r="C9" s="194"/>
      <c r="D9" s="195"/>
      <c r="E9" s="198"/>
      <c r="F9" s="198"/>
      <c r="G9" s="198"/>
      <c r="H9" s="199"/>
    </row>
    <row r="10" spans="1:12" s="215" customFormat="1" ht="47.25">
      <c r="A10" s="211" t="s">
        <v>160</v>
      </c>
      <c r="B10" s="212" t="s">
        <v>161</v>
      </c>
      <c r="C10" s="194"/>
      <c r="D10" s="213" t="s">
        <v>162</v>
      </c>
      <c r="E10" s="213" t="s">
        <v>163</v>
      </c>
      <c r="F10" s="213" t="s">
        <v>164</v>
      </c>
      <c r="G10" s="213" t="s">
        <v>165</v>
      </c>
      <c r="H10" s="214" t="s">
        <v>166</v>
      </c>
      <c r="J10" s="107"/>
      <c r="K10" s="216"/>
      <c r="L10" s="216"/>
    </row>
    <row r="11" spans="1:12" ht="15">
      <c r="A11" s="202"/>
      <c r="B11" s="193" t="s">
        <v>156</v>
      </c>
      <c r="C11" s="194" t="s">
        <v>157</v>
      </c>
      <c r="D11" s="217">
        <v>510</v>
      </c>
      <c r="E11" s="218">
        <v>12058</v>
      </c>
      <c r="F11" s="219">
        <f>D11+E11</f>
        <v>12568</v>
      </c>
      <c r="G11" s="220">
        <v>12359</v>
      </c>
      <c r="H11" s="217">
        <f>F11-G11</f>
        <v>209</v>
      </c>
    </row>
    <row r="12" spans="1:12" ht="15">
      <c r="A12" s="202"/>
      <c r="B12" s="193" t="s">
        <v>158</v>
      </c>
      <c r="C12" s="194" t="s">
        <v>157</v>
      </c>
      <c r="D12" s="217">
        <v>0</v>
      </c>
      <c r="E12" s="218">
        <v>1748</v>
      </c>
      <c r="F12" s="219">
        <f>D12+E12</f>
        <v>1748</v>
      </c>
      <c r="G12" s="221">
        <f>1705+43</f>
        <v>1748</v>
      </c>
      <c r="H12" s="217">
        <f>F12-G12</f>
        <v>0</v>
      </c>
    </row>
    <row r="13" spans="1:12" s="210" customFormat="1" ht="15.75">
      <c r="A13" s="204"/>
      <c r="B13" s="205" t="s">
        <v>159</v>
      </c>
      <c r="C13" s="222" t="s">
        <v>157</v>
      </c>
      <c r="D13" s="223">
        <v>510</v>
      </c>
      <c r="E13" s="223">
        <f>E11+E12</f>
        <v>13806</v>
      </c>
      <c r="F13" s="223">
        <f t="shared" ref="F13:H13" si="0">SUM(F11:F12)</f>
        <v>14316</v>
      </c>
      <c r="G13" s="223">
        <f t="shared" si="0"/>
        <v>14107</v>
      </c>
      <c r="H13" s="223">
        <f t="shared" si="0"/>
        <v>209</v>
      </c>
    </row>
    <row r="14" spans="1:12" ht="0.75" customHeight="1">
      <c r="A14" s="224"/>
      <c r="B14" s="225"/>
      <c r="C14" s="226"/>
      <c r="D14" s="227"/>
      <c r="E14" s="228"/>
      <c r="F14" s="228"/>
      <c r="G14" s="228"/>
      <c r="H14" s="229"/>
    </row>
    <row r="15" spans="1:12" ht="13.5" thickBot="1">
      <c r="A15" s="230"/>
      <c r="B15" s="231"/>
      <c r="C15" s="232"/>
      <c r="D15" s="233"/>
      <c r="E15" s="234"/>
      <c r="F15" s="234"/>
      <c r="G15" s="234"/>
      <c r="H15" s="235"/>
    </row>
    <row r="16" spans="1:12" ht="18.75" hidden="1" thickTop="1">
      <c r="B16" s="236" t="s">
        <v>167</v>
      </c>
      <c r="C16" s="183"/>
      <c r="D16" s="185"/>
      <c r="E16" s="183"/>
      <c r="F16" s="183"/>
    </row>
    <row r="17" spans="1:8" ht="16.5" thickTop="1">
      <c r="B17" s="343" t="s">
        <v>168</v>
      </c>
      <c r="C17" s="343"/>
      <c r="D17" s="343"/>
      <c r="E17" s="343"/>
      <c r="F17" s="343"/>
      <c r="G17" s="343"/>
      <c r="H17" s="343"/>
    </row>
    <row r="18" spans="1:8">
      <c r="B18" s="107"/>
      <c r="C18" s="107"/>
      <c r="D18" s="237"/>
      <c r="E18" s="238"/>
      <c r="F18" s="238"/>
    </row>
    <row r="19" spans="1:8">
      <c r="B19" s="107"/>
      <c r="C19" s="107"/>
      <c r="D19" s="238"/>
      <c r="E19" s="238"/>
      <c r="F19" s="238"/>
    </row>
    <row r="20" spans="1:8">
      <c r="B20" s="107"/>
      <c r="D20" s="239" t="s">
        <v>169</v>
      </c>
      <c r="E20" s="240" t="s">
        <v>170</v>
      </c>
      <c r="F20" s="240" t="s">
        <v>171</v>
      </c>
      <c r="G20" s="241"/>
      <c r="H20" s="241"/>
    </row>
    <row r="21" spans="1:8">
      <c r="B21" s="107"/>
      <c r="D21" s="242" t="s">
        <v>172</v>
      </c>
      <c r="E21" s="243">
        <f>E37</f>
        <v>98945</v>
      </c>
      <c r="F21" s="243">
        <f>F37</f>
        <v>10004</v>
      </c>
    </row>
    <row r="22" spans="1:8">
      <c r="B22" s="107"/>
      <c r="D22" s="242" t="s">
        <v>173</v>
      </c>
      <c r="E22" s="243">
        <v>30290</v>
      </c>
      <c r="F22" s="243">
        <v>4668</v>
      </c>
    </row>
    <row r="23" spans="1:8">
      <c r="B23" s="107"/>
      <c r="D23" s="244" t="s">
        <v>159</v>
      </c>
      <c r="E23" s="245">
        <f>E22+E21</f>
        <v>129235</v>
      </c>
      <c r="F23" s="245">
        <f>F22+F21</f>
        <v>14672</v>
      </c>
      <c r="G23" s="246"/>
      <c r="H23" s="247"/>
    </row>
    <row r="24" spans="1:8" s="248" customFormat="1">
      <c r="B24" s="249"/>
      <c r="D24" s="237"/>
      <c r="E24" s="237"/>
      <c r="F24" s="237"/>
      <c r="G24" s="250"/>
      <c r="H24" s="251"/>
    </row>
    <row r="25" spans="1:8" s="248" customFormat="1">
      <c r="B25" s="249"/>
      <c r="D25" s="252" t="s">
        <v>174</v>
      </c>
      <c r="E25" s="240" t="s">
        <v>170</v>
      </c>
      <c r="F25" s="240" t="s">
        <v>171</v>
      </c>
      <c r="G25" s="250"/>
      <c r="H25" s="251"/>
    </row>
    <row r="26" spans="1:8" s="248" customFormat="1">
      <c r="B26" s="249"/>
      <c r="D26" s="226" t="s">
        <v>175</v>
      </c>
      <c r="E26" s="243">
        <f>281160+34922</f>
        <v>316082</v>
      </c>
      <c r="F26" s="243">
        <f>45088+4062</f>
        <v>49150</v>
      </c>
      <c r="G26" s="250"/>
      <c r="H26" s="251"/>
    </row>
    <row r="27" spans="1:8" s="248" customFormat="1">
      <c r="B27" s="249"/>
      <c r="D27" s="226" t="s">
        <v>176</v>
      </c>
      <c r="E27" s="243">
        <f>242599+15016</f>
        <v>257615</v>
      </c>
      <c r="F27" s="243">
        <f>30096+2596</f>
        <v>32692</v>
      </c>
      <c r="G27" s="250"/>
      <c r="H27" s="251"/>
    </row>
    <row r="28" spans="1:8">
      <c r="B28" s="249"/>
      <c r="D28" s="244" t="s">
        <v>159</v>
      </c>
      <c r="E28" s="245">
        <f>E26-E27</f>
        <v>58467</v>
      </c>
      <c r="F28" s="245">
        <f>F26-F27</f>
        <v>16458</v>
      </c>
      <c r="G28" s="238"/>
      <c r="H28" s="251"/>
    </row>
    <row r="29" spans="1:8">
      <c r="A29" s="344"/>
      <c r="B29" s="344"/>
      <c r="C29" s="344"/>
      <c r="D29" s="344"/>
      <c r="E29" s="344"/>
      <c r="F29" s="344"/>
      <c r="G29" s="344"/>
      <c r="H29" s="344"/>
    </row>
    <row r="30" spans="1:8">
      <c r="A30" s="118" t="s">
        <v>177</v>
      </c>
    </row>
    <row r="31" spans="1:8">
      <c r="D31" s="225" t="s">
        <v>178</v>
      </c>
      <c r="E31" s="255" t="s">
        <v>170</v>
      </c>
      <c r="F31" s="256" t="s">
        <v>171</v>
      </c>
    </row>
    <row r="32" spans="1:8">
      <c r="D32" s="225" t="s">
        <v>179</v>
      </c>
      <c r="E32" s="257">
        <v>61139</v>
      </c>
      <c r="F32" s="258">
        <v>3291</v>
      </c>
    </row>
    <row r="33" spans="4:6">
      <c r="D33" s="225" t="s">
        <v>180</v>
      </c>
      <c r="E33" s="257">
        <v>27034</v>
      </c>
      <c r="F33" s="258">
        <v>4906</v>
      </c>
    </row>
    <row r="34" spans="4:6">
      <c r="D34" s="225" t="s">
        <v>181</v>
      </c>
      <c r="E34" s="257">
        <v>4560</v>
      </c>
      <c r="F34" s="258">
        <v>175</v>
      </c>
    </row>
    <row r="35" spans="4:6">
      <c r="D35" s="225" t="s">
        <v>182</v>
      </c>
      <c r="E35" s="257">
        <v>6108</v>
      </c>
      <c r="F35" s="258">
        <v>1522</v>
      </c>
    </row>
    <row r="36" spans="4:6">
      <c r="D36" s="225" t="s">
        <v>183</v>
      </c>
      <c r="E36" s="257">
        <v>104</v>
      </c>
      <c r="F36" s="258">
        <v>110</v>
      </c>
    </row>
    <row r="37" spans="4:6">
      <c r="D37" s="225" t="s">
        <v>184</v>
      </c>
      <c r="E37" s="259">
        <f>SUM(E32:E36)</f>
        <v>98945</v>
      </c>
      <c r="F37" s="259">
        <f t="shared" ref="F37" si="1">SUM(F32:F36)</f>
        <v>10004</v>
      </c>
    </row>
  </sheetData>
  <mergeCells count="4">
    <mergeCell ref="A1:G1"/>
    <mergeCell ref="A3:H3"/>
    <mergeCell ref="B17:H17"/>
    <mergeCell ref="A29:H29"/>
  </mergeCells>
  <pageMargins left="0.7" right="0.7" top="0.75" bottom="0.75" header="0.3" footer="0.3"/>
  <pageSetup paperSize="9" scale="7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SHEET-1</vt:lpstr>
      <vt:lpstr>SHEET-2</vt:lpstr>
      <vt:lpstr>SHEET-3</vt:lpstr>
      <vt:lpstr>SHEET-4</vt:lpstr>
      <vt:lpstr>SHEET-5</vt:lpstr>
      <vt:lpstr>SHEET-6 (2)</vt:lpstr>
      <vt:lpstr>SHEET-6</vt:lpstr>
      <vt:lpstr>SHEET-7</vt:lpstr>
      <vt:lpstr>Laboratory</vt:lpstr>
      <vt:lpstr>T&amp;D</vt:lpstr>
      <vt:lpstr>Laboratory!Print_Area</vt:lpstr>
      <vt:lpstr>'SHEET-1'!Print_Area</vt:lpstr>
      <vt:lpstr>'SHEET-2'!Print_Area</vt:lpstr>
      <vt:lpstr>'SHEET-3'!Print_Area</vt:lpstr>
      <vt:lpstr>'SHEET-4'!Print_Area</vt:lpstr>
      <vt:lpstr>'SHEET-5'!Print_Area</vt:lpstr>
      <vt:lpstr>'SHEET-6'!Print_Area</vt:lpstr>
      <vt:lpstr>'SHEET-6 (2)'!Print_Area</vt:lpstr>
      <vt:lpstr>'SHEET-7'!Print_Area</vt:lpstr>
      <vt:lpstr>'T&amp;D'!Print_Area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ujparikh3442</cp:lastModifiedBy>
  <cp:lastPrinted>2019-06-17T06:14:27Z</cp:lastPrinted>
  <dcterms:created xsi:type="dcterms:W3CDTF">1996-10-14T23:33:28Z</dcterms:created>
  <dcterms:modified xsi:type="dcterms:W3CDTF">2019-06-17T06:18:55Z</dcterms:modified>
</cp:coreProperties>
</file>